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te1\Documents\Affaires\2017\007-ALEMANT - RACINEUX\Saint Bonnet Près Riom\DCE\2017-10-13-DCE-St Bonnet-Multifonction\"/>
    </mc:Choice>
  </mc:AlternateContent>
  <bookViews>
    <workbookView xWindow="0" yWindow="0" windowWidth="16035" windowHeight="12315" tabRatio="800" activeTab="8"/>
  </bookViews>
  <sheets>
    <sheet name="Calcul BA" sheetId="15" r:id="rId1"/>
    <sheet name="P2" sheetId="7" r:id="rId2"/>
    <sheet name="L2" sheetId="6" r:id="rId3"/>
    <sheet name="P3" sheetId="18" r:id="rId4"/>
    <sheet name="L3" sheetId="5" r:id="rId5"/>
    <sheet name="P4" sheetId="17" r:id="rId6"/>
    <sheet name="L4" sheetId="8" r:id="rId7"/>
    <sheet name="P5" sheetId="19" r:id="rId8"/>
    <sheet name="L5" sheetId="9" r:id="rId9"/>
    <sheet name="P6" sheetId="21" r:id="rId10"/>
    <sheet name="L6" sheetId="11" r:id="rId11"/>
    <sheet name="P7" sheetId="20" r:id="rId12"/>
    <sheet name="L7" sheetId="12" r:id="rId13"/>
    <sheet name="P8" sheetId="22" r:id="rId14"/>
    <sheet name="L8" sheetId="13" r:id="rId15"/>
    <sheet name="P9" sheetId="23" r:id="rId16"/>
    <sheet name="L9" sheetId="14" r:id="rId17"/>
  </sheets>
  <definedNames>
    <definedName name="_Toc405450663" localSheetId="14">'L8'!$A$9</definedName>
    <definedName name="_Toc405450665" localSheetId="14">'L8'!$A$10</definedName>
    <definedName name="_xlnm.Print_Area" localSheetId="2">'L2'!$A$1:$E$99</definedName>
    <definedName name="_xlnm.Print_Area" localSheetId="4">'L3'!$A$1:$E$40</definedName>
    <definedName name="_xlnm.Print_Area" localSheetId="6">'L4'!$A$1:$E$79</definedName>
    <definedName name="_xlnm.Print_Area" localSheetId="8">'L5'!$A$1:$E$62</definedName>
    <definedName name="_xlnm.Print_Area" localSheetId="10">'L6'!$A$1:$E$85</definedName>
    <definedName name="_xlnm.Print_Area" localSheetId="12">'L7'!$A$1:$E$78</definedName>
    <definedName name="_xlnm.Print_Area" localSheetId="14">'L8'!$A$1:$E$48</definedName>
    <definedName name="_xlnm.Print_Area" localSheetId="16">'L9'!$A$1:$E$52</definedName>
    <definedName name="_xlnm.Print_Area" localSheetId="1">'P2'!$A$1:$C$34</definedName>
    <definedName name="_xlnm.Print_Area" localSheetId="3">'P3'!$A$1:$C$34</definedName>
    <definedName name="_xlnm.Print_Area" localSheetId="5">'P4'!$A$1:$C$34</definedName>
    <definedName name="_xlnm.Print_Area" localSheetId="7">'P5'!$A$1:$C$34</definedName>
    <definedName name="_xlnm.Print_Area" localSheetId="9">'P6'!$A$1:$C$34</definedName>
    <definedName name="_xlnm.Print_Area" localSheetId="11">'P7'!$A$1:$C$34</definedName>
    <definedName name="_xlnm.Print_Area" localSheetId="13">'P8'!$A$1:$C$34</definedName>
    <definedName name="_xlnm.Print_Area" localSheetId="15">'P9'!$A$1:$C$34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1" l="1"/>
  <c r="E18" i="11"/>
  <c r="E20" i="11"/>
  <c r="E22" i="11"/>
  <c r="E60" i="11" s="1"/>
  <c r="E26" i="11"/>
  <c r="E29" i="11"/>
  <c r="E31" i="11"/>
  <c r="E33" i="11"/>
  <c r="E38" i="11"/>
  <c r="E40" i="11"/>
  <c r="E42" i="11"/>
  <c r="E45" i="11"/>
  <c r="E46" i="11"/>
  <c r="E50" i="11"/>
  <c r="E51" i="11"/>
  <c r="E54" i="11"/>
  <c r="E57" i="11"/>
  <c r="E65" i="11"/>
  <c r="E66" i="11"/>
  <c r="E67" i="11" s="1"/>
  <c r="E68" i="11" s="1"/>
  <c r="E70" i="11"/>
  <c r="E71" i="11"/>
  <c r="E72" i="11" s="1"/>
  <c r="E73" i="11" s="1"/>
  <c r="E76" i="11"/>
  <c r="E77" i="11"/>
  <c r="E78" i="11" s="1"/>
  <c r="E79" i="11" s="1"/>
  <c r="E81" i="11"/>
  <c r="E82" i="11"/>
  <c r="E83" i="11" s="1"/>
  <c r="E84" i="11" s="1"/>
  <c r="E61" i="11" l="1"/>
  <c r="E62" i="11" s="1"/>
  <c r="B25" i="15" l="1"/>
  <c r="E28" i="6" l="1"/>
  <c r="E67" i="12"/>
  <c r="H33" i="15" l="1"/>
  <c r="H34" i="15" s="1"/>
  <c r="H32" i="15"/>
  <c r="H31" i="15"/>
  <c r="F32" i="15"/>
  <c r="F33" i="15"/>
  <c r="F31" i="15"/>
  <c r="L20" i="15"/>
  <c r="L10" i="15"/>
  <c r="L11" i="15"/>
  <c r="L12" i="15"/>
  <c r="L13" i="15"/>
  <c r="L14" i="15"/>
  <c r="L15" i="15"/>
  <c r="L16" i="15"/>
  <c r="L17" i="15"/>
  <c r="L18" i="15"/>
  <c r="H10" i="15"/>
  <c r="H11" i="15"/>
  <c r="H12" i="15"/>
  <c r="H13" i="15"/>
  <c r="H14" i="15"/>
  <c r="H15" i="15"/>
  <c r="H16" i="15"/>
  <c r="H17" i="15"/>
  <c r="H18" i="15"/>
  <c r="K10" i="15"/>
  <c r="K20" i="15"/>
  <c r="H20" i="15"/>
  <c r="B14" i="15"/>
  <c r="B17" i="15" s="1"/>
  <c r="B18" i="15"/>
  <c r="B16" i="15"/>
  <c r="B15" i="15"/>
  <c r="B10" i="15"/>
  <c r="K16" i="15" l="1"/>
  <c r="K12" i="15"/>
  <c r="K11" i="15"/>
  <c r="K15" i="15"/>
  <c r="K18" i="15"/>
  <c r="K14" i="15"/>
  <c r="K17" i="15"/>
  <c r="K13" i="15"/>
  <c r="E61" i="6" l="1"/>
  <c r="E70" i="6"/>
  <c r="E59" i="6"/>
  <c r="E31" i="12"/>
  <c r="E32" i="12"/>
  <c r="E33" i="12"/>
  <c r="E34" i="12"/>
  <c r="E30" i="12"/>
  <c r="E48" i="6"/>
  <c r="E47" i="6"/>
  <c r="D74" i="12"/>
  <c r="E74" i="12" s="1"/>
  <c r="E75" i="12" s="1"/>
  <c r="C74" i="12"/>
  <c r="E27" i="5"/>
  <c r="C58" i="12"/>
  <c r="E9" i="12"/>
  <c r="C17" i="13"/>
  <c r="E19" i="13"/>
  <c r="E29" i="14"/>
  <c r="E30" i="14"/>
  <c r="E28" i="14"/>
  <c r="C15" i="14"/>
  <c r="G15" i="14"/>
  <c r="G57" i="11"/>
  <c r="F57" i="11"/>
  <c r="E72" i="12"/>
  <c r="C94" i="6"/>
  <c r="H57" i="11" l="1"/>
  <c r="E17" i="13"/>
  <c r="E76" i="12"/>
  <c r="E77" i="12" s="1"/>
  <c r="E14" i="6"/>
  <c r="C38" i="12"/>
  <c r="C40" i="12" s="1"/>
  <c r="F18" i="12"/>
  <c r="H18" i="14"/>
  <c r="F15" i="14"/>
  <c r="G18" i="14"/>
  <c r="H27" i="12"/>
  <c r="K25" i="12"/>
  <c r="K26" i="12"/>
  <c r="K24" i="12"/>
  <c r="K17" i="12"/>
  <c r="K18" i="12"/>
  <c r="K16" i="12"/>
  <c r="F24" i="12"/>
  <c r="F26" i="12"/>
  <c r="D43" i="13"/>
  <c r="F15" i="13"/>
  <c r="E94" i="6"/>
  <c r="E93" i="6"/>
  <c r="G18" i="11"/>
  <c r="F14" i="8"/>
  <c r="F58" i="8"/>
  <c r="F56" i="8"/>
  <c r="F53" i="8"/>
  <c r="F49" i="8"/>
  <c r="F38" i="8"/>
  <c r="F28" i="9"/>
  <c r="K28" i="9" s="1"/>
  <c r="K27" i="9"/>
  <c r="L27" i="9" s="1"/>
  <c r="F25" i="9"/>
  <c r="F23" i="9"/>
  <c r="K23" i="9"/>
  <c r="K29" i="12" l="1"/>
  <c r="F18" i="14" s="1"/>
  <c r="E61" i="8" l="1"/>
  <c r="C75" i="8"/>
  <c r="E75" i="8" s="1"/>
  <c r="E26" i="13" l="1"/>
  <c r="C29" i="13"/>
  <c r="I26" i="13"/>
  <c r="H26" i="13"/>
  <c r="G26" i="13"/>
  <c r="F26" i="13"/>
  <c r="F23" i="13"/>
  <c r="J26" i="13" l="1"/>
  <c r="C74" i="8"/>
  <c r="E74" i="8" s="1"/>
  <c r="E76" i="8" s="1"/>
  <c r="E77" i="8" l="1"/>
  <c r="E78" i="8" s="1"/>
  <c r="E68" i="8"/>
  <c r="E70" i="8" s="1"/>
  <c r="C47" i="14"/>
  <c r="E47" i="14" s="1"/>
  <c r="E49" i="14" s="1"/>
  <c r="F46" i="14"/>
  <c r="F40" i="13"/>
  <c r="E40" i="13"/>
  <c r="E71" i="8" l="1"/>
  <c r="E72" i="8" s="1"/>
  <c r="E50" i="14"/>
  <c r="E51" i="14" s="1"/>
  <c r="C43" i="13"/>
  <c r="E43" i="13" s="1"/>
  <c r="F48" i="12"/>
  <c r="E48" i="12"/>
  <c r="E53" i="9"/>
  <c r="E57" i="9"/>
  <c r="E56" i="9"/>
  <c r="E52" i="9"/>
  <c r="E48" i="9"/>
  <c r="E49" i="9"/>
  <c r="E47" i="9"/>
  <c r="F53" i="9"/>
  <c r="K53" i="9" s="1"/>
  <c r="F52" i="9"/>
  <c r="K52" i="9" s="1"/>
  <c r="F56" i="9"/>
  <c r="K56" i="9" s="1"/>
  <c r="F57" i="9"/>
  <c r="K57" i="9" s="1"/>
  <c r="K49" i="9"/>
  <c r="K50" i="9"/>
  <c r="K51" i="9"/>
  <c r="K54" i="9"/>
  <c r="K55" i="9"/>
  <c r="K46" i="9"/>
  <c r="F49" i="9"/>
  <c r="F48" i="9"/>
  <c r="K48" i="9" s="1"/>
  <c r="F47" i="9"/>
  <c r="K47" i="9" s="1"/>
  <c r="E40" i="14"/>
  <c r="E42" i="14" s="1"/>
  <c r="F54" i="12"/>
  <c r="F52" i="12"/>
  <c r="C21" i="12"/>
  <c r="E45" i="13" l="1"/>
  <c r="E46" i="13" s="1"/>
  <c r="E59" i="9"/>
  <c r="E43" i="14"/>
  <c r="E44" i="14" s="1"/>
  <c r="E47" i="13" l="1"/>
  <c r="E60" i="9"/>
  <c r="E61" i="9" s="1"/>
  <c r="C51" i="11"/>
  <c r="F50" i="11"/>
  <c r="E38" i="8" l="1"/>
  <c r="C39" i="8"/>
  <c r="E39" i="8" s="1"/>
  <c r="E31" i="6" l="1"/>
  <c r="E23" i="6"/>
  <c r="E19" i="6"/>
  <c r="E18" i="6"/>
  <c r="C90" i="6"/>
  <c r="E90" i="6" s="1"/>
  <c r="E52" i="6"/>
  <c r="C44" i="6"/>
  <c r="C39" i="6" s="1"/>
  <c r="E39" i="6" s="1"/>
  <c r="E92" i="6"/>
  <c r="E58" i="6"/>
  <c r="E60" i="6"/>
  <c r="E65" i="6"/>
  <c r="E67" i="6"/>
  <c r="E73" i="6"/>
  <c r="E79" i="6"/>
  <c r="E80" i="6"/>
  <c r="E83" i="6"/>
  <c r="E78" i="6"/>
  <c r="E75" i="6"/>
  <c r="E25" i="15"/>
  <c r="H25" i="15"/>
  <c r="E88" i="6"/>
  <c r="I7" i="15"/>
  <c r="H7" i="15"/>
  <c r="K7" i="15"/>
  <c r="L7" i="15"/>
  <c r="L19" i="15"/>
  <c r="L22" i="15" s="1"/>
  <c r="E85" i="6" s="1"/>
  <c r="H19" i="15"/>
  <c r="L5" i="15"/>
  <c r="L6" i="15"/>
  <c r="L4" i="15"/>
  <c r="K5" i="15"/>
  <c r="K6" i="15"/>
  <c r="K4" i="15"/>
  <c r="I5" i="15"/>
  <c r="I6" i="15"/>
  <c r="I4" i="15"/>
  <c r="H5" i="15"/>
  <c r="H6" i="15"/>
  <c r="E15" i="14"/>
  <c r="E18" i="14"/>
  <c r="I18" i="14"/>
  <c r="E20" i="14"/>
  <c r="E32" i="14"/>
  <c r="E24" i="14"/>
  <c r="E65" i="12"/>
  <c r="E32" i="13"/>
  <c r="E29" i="13"/>
  <c r="E23" i="13"/>
  <c r="E15" i="13"/>
  <c r="E58" i="12"/>
  <c r="E62" i="12"/>
  <c r="E54" i="12"/>
  <c r="E52" i="12"/>
  <c r="E46" i="12"/>
  <c r="E40" i="12"/>
  <c r="E42" i="12"/>
  <c r="E38" i="12"/>
  <c r="F46" i="12"/>
  <c r="E18" i="12"/>
  <c r="E16" i="12"/>
  <c r="E21" i="12"/>
  <c r="E26" i="12"/>
  <c r="E24" i="12"/>
  <c r="G16" i="12"/>
  <c r="I18" i="12"/>
  <c r="E64" i="12"/>
  <c r="G64" i="12"/>
  <c r="K19" i="15" l="1"/>
  <c r="K22" i="15" s="1"/>
  <c r="E86" i="6" s="1"/>
  <c r="H22" i="15"/>
  <c r="E84" i="6" s="1"/>
  <c r="F40" i="12"/>
  <c r="F20" i="14"/>
  <c r="G48" i="12"/>
  <c r="E34" i="14"/>
  <c r="E35" i="14" s="1"/>
  <c r="E36" i="14" s="1"/>
  <c r="E44" i="6"/>
  <c r="E35" i="13"/>
  <c r="J15" i="12"/>
  <c r="F54" i="8"/>
  <c r="F42" i="8"/>
  <c r="E49" i="8"/>
  <c r="F45" i="8"/>
  <c r="F46" i="8"/>
  <c r="E23" i="8"/>
  <c r="E24" i="8"/>
  <c r="E33" i="8"/>
  <c r="E35" i="8"/>
  <c r="E32" i="8"/>
  <c r="E54" i="8"/>
  <c r="E53" i="8"/>
  <c r="E50" i="8"/>
  <c r="E45" i="8"/>
  <c r="E46" i="8"/>
  <c r="E56" i="8"/>
  <c r="E42" i="8"/>
  <c r="E27" i="8"/>
  <c r="C22" i="8"/>
  <c r="E22" i="8" s="1"/>
  <c r="C29" i="8"/>
  <c r="E29" i="8" s="1"/>
  <c r="C34" i="8"/>
  <c r="E34" i="8" s="1"/>
  <c r="C28" i="8"/>
  <c r="E58" i="8" s="1"/>
  <c r="E18" i="8"/>
  <c r="E16" i="8"/>
  <c r="E14" i="8"/>
  <c r="E96" i="6" l="1"/>
  <c r="E36" i="13"/>
  <c r="E37" i="13" s="1"/>
  <c r="E28" i="8"/>
  <c r="E63" i="8" s="1"/>
  <c r="E68" i="12"/>
  <c r="E69" i="12" s="1"/>
  <c r="H4" i="15"/>
  <c r="C46" i="11" l="1"/>
  <c r="C45" i="11"/>
  <c r="E20" i="9"/>
  <c r="E18" i="9"/>
  <c r="E15" i="9"/>
  <c r="F20" i="9"/>
  <c r="K20" i="9" s="1"/>
  <c r="L20" i="9" s="1"/>
  <c r="K15" i="9"/>
  <c r="L15" i="9" s="1"/>
  <c r="F18" i="9"/>
  <c r="K18" i="9" s="1"/>
  <c r="L18" i="9" s="1"/>
  <c r="E24" i="9"/>
  <c r="K25" i="9"/>
  <c r="K24" i="9"/>
  <c r="E27" i="9"/>
  <c r="E41" i="9"/>
  <c r="E42" i="9" s="1"/>
  <c r="E36" i="9"/>
  <c r="E37" i="9" s="1"/>
  <c r="E64" i="8"/>
  <c r="L23" i="9" l="1"/>
  <c r="E38" i="9"/>
  <c r="E39" i="9" s="1"/>
  <c r="E43" i="9"/>
  <c r="E44" i="9" s="1"/>
  <c r="E65" i="8"/>
  <c r="E30" i="9"/>
  <c r="E31" i="9" l="1"/>
  <c r="E32" i="9" s="1"/>
  <c r="E15" i="5"/>
  <c r="G15" i="5"/>
  <c r="E16" i="5"/>
  <c r="E24" i="5"/>
  <c r="E19" i="5"/>
  <c r="C35" i="5"/>
  <c r="E35" i="5" s="1"/>
  <c r="E37" i="5" s="1"/>
  <c r="E18" i="5"/>
  <c r="E30" i="5" l="1"/>
  <c r="E38" i="5"/>
  <c r="E39" i="5" s="1"/>
  <c r="E31" i="5" l="1"/>
  <c r="E32" i="5" s="1"/>
  <c r="E97" i="6" l="1"/>
  <c r="E98" i="6" s="1"/>
</calcChain>
</file>

<file path=xl/sharedStrings.xml><?xml version="1.0" encoding="utf-8"?>
<sst xmlns="http://schemas.openxmlformats.org/spreadsheetml/2006/main" count="866" uniqueCount="461">
  <si>
    <t>ARCHITECTE</t>
  </si>
  <si>
    <t>ECONOMISTE</t>
  </si>
  <si>
    <t xml:space="preserve">Maitre d'ouvrage </t>
  </si>
  <si>
    <t xml:space="preserve">Opération </t>
  </si>
  <si>
    <t>Construction d'une salle Multifonctionnelle 
avec 2 terrains de tennis extérieurs</t>
  </si>
  <si>
    <t>Phase d'étude</t>
  </si>
  <si>
    <t xml:space="preserve">Maitrise d'œuvre </t>
  </si>
  <si>
    <t>Commune de Saint Bonnet Près Riom</t>
  </si>
  <si>
    <t xml:space="preserve"> </t>
  </si>
  <si>
    <t>m²</t>
  </si>
  <si>
    <t>u</t>
  </si>
  <si>
    <t>ft</t>
  </si>
  <si>
    <t>ml</t>
  </si>
  <si>
    <t>pm</t>
  </si>
  <si>
    <t xml:space="preserve">Désignation des postes </t>
  </si>
  <si>
    <t xml:space="preserve">BET Fluides </t>
  </si>
  <si>
    <t xml:space="preserve">BET Structure </t>
  </si>
  <si>
    <r>
      <rPr>
        <b/>
        <sz val="11"/>
        <color theme="1"/>
        <rFont val="Cambria"/>
        <family val="2"/>
      </rPr>
      <t>SARL eKo</t>
    </r>
    <r>
      <rPr>
        <sz val="11"/>
        <color theme="1"/>
        <rFont val="Cambria"/>
        <family val="2"/>
      </rPr>
      <t xml:space="preserve">
6 Rue du Breuil - 15100 SAINT FLOUR
Tél. 04 71 20 31 40 - Fax : 04 71 20 56 59 - E-mail : ste.eko@orange.fr</t>
    </r>
  </si>
  <si>
    <r>
      <rPr>
        <b/>
        <sz val="11"/>
        <color theme="1"/>
        <rFont val="Cambria"/>
        <family val="2"/>
      </rPr>
      <t xml:space="preserve">CYMEIA </t>
    </r>
    <r>
      <rPr>
        <sz val="11"/>
        <color theme="1"/>
        <rFont val="Cambria"/>
        <family val="2"/>
      </rPr>
      <t xml:space="preserve">
7, rue de l'Ancien Cimetière - 63160 BILLOM
 Tél: 07 68 50 46 90- E-Mail : y.mingorance@cymeia.fr</t>
    </r>
  </si>
  <si>
    <r>
      <rPr>
        <b/>
        <sz val="11"/>
        <color theme="1"/>
        <rFont val="Cambria"/>
        <family val="2"/>
      </rPr>
      <t>IDEUM PARTNERS</t>
    </r>
    <r>
      <rPr>
        <sz val="11"/>
        <color theme="1"/>
        <rFont val="Cambria"/>
        <family val="2"/>
      </rPr>
      <t xml:space="preserve">
Centre d'Affaires du Zénith 32 rue du Sarliève 63800 COURNON D'AUVERGNE
Tel : 04 73 41 05 94 -  Fax : 04 73 62 39 37 - E-mail : contact@ideum.fr</t>
    </r>
  </si>
  <si>
    <t>Lot N°4 - COUVERTURE ET BARDAGE BACS ACIER</t>
  </si>
  <si>
    <t>Lot N°8 - CARRELAGES - FAIENCES</t>
  </si>
  <si>
    <t>Lot N°9 - PEINTURES - NETTOYAGE</t>
  </si>
  <si>
    <t>TVA 20%</t>
  </si>
  <si>
    <t xml:space="preserve">3.2 PREPARATION DE L’INTERVENTION </t>
  </si>
  <si>
    <t>3.2.1 ECHAFAUDAGES - PROTECTIONS</t>
  </si>
  <si>
    <t>3.2.2 MESURES ET PLANS D'EXECUTION</t>
  </si>
  <si>
    <t>3.3 CHARPENTE MONOPENTE</t>
  </si>
  <si>
    <t>3.3.1 OSSATURES SECONDAIRES POUR BARDAGE - CHASSIS/PORTES - ACROTERES</t>
  </si>
  <si>
    <t>3.4 SERRURERIE</t>
  </si>
  <si>
    <t>LOCALISATION :  Façade Ouest : local technique</t>
  </si>
  <si>
    <t>3.5 VARIANTE DEMANDEE</t>
  </si>
  <si>
    <t>Localisation :  En façade Ouest.</t>
  </si>
  <si>
    <t>U</t>
  </si>
  <si>
    <t>Quantité</t>
  </si>
  <si>
    <t>Prix en €</t>
  </si>
  <si>
    <t>Montant en €</t>
  </si>
  <si>
    <t>Montant HT Lot N°3 - STRUCTURE METALLIQUE</t>
  </si>
  <si>
    <t>Lot N°3 - STRUCTURE METALLIQUE</t>
  </si>
  <si>
    <t>Lot N°7 - PLATRERIE - ISOLATION  - FAUX PLAFONDS</t>
  </si>
  <si>
    <t xml:space="preserve">Lot N°6 - MENUISERIES INTERIEURES AGENCEMENT </t>
  </si>
  <si>
    <t>Lot N°5 - MENUISERIES EXTERIEURES ALUMINIUM</t>
  </si>
  <si>
    <t>4.1 NOTE AUX ENTREPRISES</t>
  </si>
  <si>
    <t>4.1.1 ETANCHEITE A L’AIR</t>
  </si>
  <si>
    <t>4.1.2 MARQUES – MODELES - GAMMES</t>
  </si>
  <si>
    <t>4.1.3 DIVERS</t>
  </si>
  <si>
    <t xml:space="preserve">4.2 COUVERTURE PAR PANNEAUX SANDWICH </t>
  </si>
  <si>
    <t xml:space="preserve">4.2.1 PANNEAUX DE COUVERTURE </t>
  </si>
  <si>
    <t xml:space="preserve">4.2.2 SORTIES TOITURE </t>
  </si>
  <si>
    <t xml:space="preserve">4.2.2.1 VENTILATION PRIMAIRE  (VP Ø100)  </t>
  </si>
  <si>
    <t>4.2.3 SECURITE</t>
  </si>
  <si>
    <t>4.2.3.1 LIGNE DE VIE</t>
  </si>
  <si>
    <t>4.2.3.2 ANCRAGE</t>
  </si>
  <si>
    <t>4.2.3.3 ECHELLE DE SERVICE</t>
  </si>
  <si>
    <t>4.2.4 PROFILS DE FINITION COUVERTURE</t>
  </si>
  <si>
    <t>4.2.4.1 FAITAGE SIMPLE PENTE EN SOLIN</t>
  </si>
  <si>
    <t>4.2.4.2 RIVES EN SOLINS</t>
  </si>
  <si>
    <t xml:space="preserve">4.2.4.3 CLOSOIRS </t>
  </si>
  <si>
    <t>4.2.5 EVACUATION DES EP</t>
  </si>
  <si>
    <t>4.2.5.1 GOUTTIERES PENDANTES DEMI-RONDES</t>
  </si>
  <si>
    <t>4.2.5.1.1 CRAPAUDINES</t>
  </si>
  <si>
    <t>4.2.5.2 DESCENTES EP ZINC</t>
  </si>
  <si>
    <t>4.2.5.3 DAUPHINS FONTE</t>
  </si>
  <si>
    <t xml:space="preserve">4.3.2 HABILLAGES ET FINITIONS </t>
  </si>
  <si>
    <t xml:space="preserve">4.3.2.1 BAVETTES </t>
  </si>
  <si>
    <t>Localisation : En pied de bardage (hors contre bardage)</t>
  </si>
  <si>
    <t xml:space="preserve">4.3.2.2 JAMBAGES </t>
  </si>
  <si>
    <t xml:space="preserve">Localisation : habillage verticaux des châssis et portes </t>
  </si>
  <si>
    <t xml:space="preserve">4.3.2.3 APPUIS DE FENETRE </t>
  </si>
  <si>
    <t xml:space="preserve">Localisation : habillage des appuis des châssis </t>
  </si>
  <si>
    <t>4.3.2.4 LINTEAUX</t>
  </si>
  <si>
    <t>Localisation :  habillage de l’ensemble des linteaux de porte ou châssis</t>
  </si>
  <si>
    <t>4.3.2.5 ANGLES AIGUS</t>
  </si>
  <si>
    <t>Localisation :  Habillage des angles du bâtiment, depuis la bavette jusqu’à la couvertine</t>
  </si>
  <si>
    <t xml:space="preserve">4.3.2.6 COUVERTINES </t>
  </si>
  <si>
    <t xml:space="preserve">Localisation :  Habillage des têtes d’acrotères </t>
  </si>
  <si>
    <t>Montant HT Lot N°4 - COUVERTURE ET BARDAGE BACS ACIER</t>
  </si>
  <si>
    <t>Montant TTC Lot N°4 - COUVERTURE ET BARDAGE BACS ACIER</t>
  </si>
  <si>
    <t>5.2 MENUISERIES EXTERIEURES ALUMINIUM</t>
  </si>
  <si>
    <t>5.1.3 DIVERS</t>
  </si>
  <si>
    <t>5.1.2 MARQUES – MODELES - GAMMES</t>
  </si>
  <si>
    <t>5.1 NOTE AUX ENTREPRISES</t>
  </si>
  <si>
    <t>5.1.1 ETANCHEITE A L’AIR</t>
  </si>
  <si>
    <t xml:space="preserve">5.3 VARIANTE DEMANDEE </t>
  </si>
  <si>
    <t xml:space="preserve">5.2.1 PORTES VITREES </t>
  </si>
  <si>
    <t>Localisation :  Cuisine, Local Foot et Local rugby</t>
  </si>
  <si>
    <t xml:space="preserve">5.2.2 CHASSIS </t>
  </si>
  <si>
    <t xml:space="preserve">5.2.2.1 CHASSIS FIXE - DIMENSIONS 1800*1700 HT </t>
  </si>
  <si>
    <t>LOCALISATION :  Pignon sud : salle de réunion</t>
  </si>
  <si>
    <t>LOCALISATION :  Façade Est :  Bureau</t>
  </si>
  <si>
    <t xml:space="preserve">5.2.3 ENSEMBLE FIXE + PORTES </t>
  </si>
  <si>
    <t>Localisation  Pignon sud sur tennis</t>
  </si>
  <si>
    <t>Localisation :  sur salle polyvalente et sur réunion</t>
  </si>
  <si>
    <t>Montant HT Lot N°5 - MENUISERIES EXTERIEURES ALUMINIUM</t>
  </si>
  <si>
    <t>Montant TTC Lot N°5 - MENUISERIES EXTERIEURES ALUMINIUM</t>
  </si>
  <si>
    <t xml:space="preserve">5.2.1.1 - 1 V VITREES - DIMENSIONS 940*2150 HT (U=3) </t>
  </si>
  <si>
    <t>6.1 NOTE AUX ENTREPRISES</t>
  </si>
  <si>
    <t>6.1.1 ETANCHEITE A L’AIR</t>
  </si>
  <si>
    <t>6.1.2 MARQUES – MODELES - GAMMES</t>
  </si>
  <si>
    <t>6.1.3 REFERENCES QUINCAILLERIES</t>
  </si>
  <si>
    <t>6.1.4 DIVERS</t>
  </si>
  <si>
    <t>6.2 MENUISERIE BOIS</t>
  </si>
  <si>
    <t>6.2.1 COMBINAISON DES SERRURES</t>
  </si>
  <si>
    <t xml:space="preserve">6.2.2 PORTES DE DISTRIBUTION  </t>
  </si>
  <si>
    <t xml:space="preserve">6.2.2.1 PORTES AME PLEINE STANDARD </t>
  </si>
  <si>
    <t xml:space="preserve">6.2.2.2 PORTE PLEINE SEMI VITREE </t>
  </si>
  <si>
    <t>6.2.2.2.1 1V DIMENSIONS 93*204HT (U=2)</t>
  </si>
  <si>
    <t>LOCALISATION :  entre bureau et salle multifonction et entre bureau tennis et salle tennis</t>
  </si>
  <si>
    <t>6.2.2.3 PORTES PLEINE CF1/2H</t>
  </si>
  <si>
    <t>6.2.2.3.1 1V DIMENSIONS : 93*204 HT CF 1/2H (U=1)</t>
  </si>
  <si>
    <t>LOCALISATION :  Rangement tennis</t>
  </si>
  <si>
    <t>6.2.2.3.2 1V DIMENSIONS : 93*204 HT CF 1/2H – VAS ET VIENS (U=1)</t>
  </si>
  <si>
    <t xml:space="preserve">LOCALISATION :  accès cuisine </t>
  </si>
  <si>
    <t>LOCALISATION :  Ensemble des pans de cloisons (hors pares douches)</t>
  </si>
  <si>
    <t xml:space="preserve">Montant HT Lot N°6 - MENUISERIES INTERIEURES AGENCEMENT </t>
  </si>
  <si>
    <t xml:space="preserve">Montant TTC Lot N°6 - MENUISERIES INTERIEURES AGENCEMENT </t>
  </si>
  <si>
    <t>6.3 AMENAGEMENT EN STRATIFIE MASSIF</t>
  </si>
  <si>
    <t>6.3.1 CLOISON STRATIFIE MASSIF</t>
  </si>
  <si>
    <t>6.3.1.1 CLOISONS (ML)</t>
  </si>
  <si>
    <t>6.3.2 PORTES STRATIFIE MASSIF</t>
  </si>
  <si>
    <t xml:space="preserve">6.4 SIGNALETIQUE </t>
  </si>
  <si>
    <t xml:space="preserve">6.4.1 PORTES - VESTIAIRES / SANITAIRES – CUISINE </t>
  </si>
  <si>
    <t xml:space="preserve">6.4.2 PORTE DES BUREAUX </t>
  </si>
  <si>
    <t>6.3.1.1.1 BANC RECTANGULAIRE  DIMENSIONS 300X800</t>
  </si>
  <si>
    <t xml:space="preserve">7.4 PLAFONDS </t>
  </si>
  <si>
    <t xml:space="preserve">7.8.3 PV POUR PLAQUES HYDRO </t>
  </si>
  <si>
    <t xml:space="preserve">7.8.2 PV POUR POSE DES PORTES </t>
  </si>
  <si>
    <t>7.8.1 ANGLES SAILLANTS</t>
  </si>
  <si>
    <t xml:space="preserve">7.8 DIVERS </t>
  </si>
  <si>
    <t xml:space="preserve">Localisation :   Habillage de la sortie hotte (jusqu’en sous face des bacs acier) Gaine au droit du bureau rugby </t>
  </si>
  <si>
    <t>7.1.2 MARQUES – MODELES - GAMMES</t>
  </si>
  <si>
    <t>7.1 NOTE AUX ENTREPRISES</t>
  </si>
  <si>
    <t>7.2 DOUBLAGE PERIPHERIQUE</t>
  </si>
  <si>
    <t xml:space="preserve">7.3 CLOISONS – DISTRIBUTION </t>
  </si>
  <si>
    <t xml:space="preserve">7.3.1 CLOISONS CF1H 84/48 </t>
  </si>
  <si>
    <t>Localisation :  ensemble des cloisons de distribution (hors cloisons SAD 200 et cloisons distribution intérieur zone vestiaire).</t>
  </si>
  <si>
    <t xml:space="preserve">Localisation :  contre bardage du local technique </t>
  </si>
  <si>
    <t xml:space="preserve">7.4.1 ETANCHEITE A L’AIR HORIZONTALE + ISOLATION </t>
  </si>
  <si>
    <t>7.4.1.1 MEMBRANE PARE VAPEUR</t>
  </si>
  <si>
    <t xml:space="preserve">LOCALISATION :   coté chaud en parois sous rampant. </t>
  </si>
  <si>
    <t xml:space="preserve">7.4.2 PLAFONDS </t>
  </si>
  <si>
    <t xml:space="preserve">7.4.2.1 PLAFONDS CF1H </t>
  </si>
  <si>
    <t>Localisation : local technique, local rangement et cuisine</t>
  </si>
  <si>
    <t xml:space="preserve">7.4.3 FAUX PLAFONDS </t>
  </si>
  <si>
    <t>7.4.3.1 TYPE 600X600X15 PERLA OP</t>
  </si>
  <si>
    <t xml:space="preserve">7.4.3.2 TYPE DALLE DE PLAFOND RESISTANTE A L'HUMIDITE </t>
  </si>
  <si>
    <t xml:space="preserve">7.5 COFFRES – GAINES ET SOFFITES </t>
  </si>
  <si>
    <t xml:space="preserve">7.5.1 COFFRES ET SOFFITES CF1H </t>
  </si>
  <si>
    <t>Localisation : TOUS NIVEAUX : Au droit des angles saillants.</t>
  </si>
  <si>
    <t>S1</t>
  </si>
  <si>
    <t>S2</t>
  </si>
  <si>
    <t>S3</t>
  </si>
  <si>
    <t>Long</t>
  </si>
  <si>
    <t>larg</t>
  </si>
  <si>
    <t xml:space="preserve">ht </t>
  </si>
  <si>
    <t>nb</t>
  </si>
  <si>
    <t xml:space="preserve">Gros béton </t>
  </si>
  <si>
    <t>Fondations par semelles</t>
  </si>
  <si>
    <t xml:space="preserve">Semelle armée </t>
  </si>
  <si>
    <t>Cubage GB</t>
  </si>
  <si>
    <t>Cubage Semelle</t>
  </si>
  <si>
    <t>coffrage</t>
  </si>
  <si>
    <t>quantité acier</t>
  </si>
  <si>
    <t>Ratio acier Kg/M3</t>
  </si>
  <si>
    <t xml:space="preserve">Zone doublée </t>
  </si>
  <si>
    <t>Zone non doublée</t>
  </si>
  <si>
    <t>7.2.1 DOUBLAGE PERIPHERIQUE DE TYPE OPTIMA 40+18 CF1H</t>
  </si>
  <si>
    <t xml:space="preserve">Localisation :  contre bardage zone tennis, vestiaire et bureau indépendant. </t>
  </si>
  <si>
    <t>Montant HT Lot N°7 - PLATRERIE - ISOLATION  - FAUX PLAFONDS</t>
  </si>
  <si>
    <t>Montant TTC Lot N°7 - PLATRERIE - ISOLATION  - FAUX PLAFONDS</t>
  </si>
  <si>
    <t>7.2.3 ETANCHEITE A L’AIR VERTICALE</t>
  </si>
  <si>
    <t>Localisation : Sur l’ensemble des zones tennis, WC et bureau indépendant</t>
  </si>
  <si>
    <t>7.4.1.2 ISOLATION EN PLAFONDS (EP. 300 MM)</t>
  </si>
  <si>
    <t>7.7 VARIANTE</t>
  </si>
  <si>
    <t xml:space="preserve">7.4.1.3 PV OSSATURE PRIMAIRE </t>
  </si>
  <si>
    <t>8.1 NOTE AUX ENTREPRISES</t>
  </si>
  <si>
    <t>8.1.1 MARQUES – MODELES - GAMMES</t>
  </si>
  <si>
    <t>8.2 CARRELAGES FAIENCES</t>
  </si>
  <si>
    <t>Localisation :  Ensemble des sols du projet</t>
  </si>
  <si>
    <t xml:space="preserve">Localisation :  parois verticales sous faïences </t>
  </si>
  <si>
    <t>8.3 FAÏENCES</t>
  </si>
  <si>
    <t>8.3.1 FAÏENCES BLANCHES 15X15</t>
  </si>
  <si>
    <t>Montant HT Lot N°8 - CARRELAGES - FAIENCES</t>
  </si>
  <si>
    <t>Montant TTC Lot N°8 - CARRELAGES - FAIENCES</t>
  </si>
  <si>
    <t>9.1 NOTE AUX ENTREPRISES</t>
  </si>
  <si>
    <t>9.1.1 MARQUES – MODELES - GAMMES</t>
  </si>
  <si>
    <t>9.2 PEINTURE SUR MENUISERIES BOIS (FINITION B)</t>
  </si>
  <si>
    <t>9.3 PEINTURE SUR PLATRE</t>
  </si>
  <si>
    <t>9.3.1 PEINTURE SUR TOILE DE VERRE SUR PAROIS - FINITION B - SATINEE</t>
  </si>
  <si>
    <t>Localisation :  ensemble des pièces (hors zones de faiences)</t>
  </si>
  <si>
    <t>9.3.2 PEINTURE MATE SUR PLAFONDS</t>
  </si>
  <si>
    <t xml:space="preserve">Localisation :  ensemble des pièces recevant un plafond plaques de plâtre (Rangement et local technique). </t>
  </si>
  <si>
    <t xml:space="preserve">9.4 OUVRAGES METALLIQUES </t>
  </si>
  <si>
    <t>9.4.2 PEINTURE CANALISATIONS</t>
  </si>
  <si>
    <t>Localisation : Tous niveaux: Peinture des canalisations apparentes des sanitaires</t>
  </si>
  <si>
    <t>9.5 NETTOYAGES DE MISE EN SERVICE</t>
  </si>
  <si>
    <t>Montant HT Lot N°9 - PEINTURES - NETTOYAGE</t>
  </si>
  <si>
    <t>Montant TTC Lot N°9 - PEINTURES - NETTOYAGE</t>
  </si>
  <si>
    <t xml:space="preserve">Longrines </t>
  </si>
  <si>
    <t>LG 1</t>
  </si>
  <si>
    <t>LG 2</t>
  </si>
  <si>
    <t>LG 3</t>
  </si>
  <si>
    <t>LG 4</t>
  </si>
  <si>
    <t>LG 5</t>
  </si>
  <si>
    <t>LG 6</t>
  </si>
  <si>
    <t>LG 7</t>
  </si>
  <si>
    <t>LG 8</t>
  </si>
  <si>
    <t>LG 9</t>
  </si>
  <si>
    <t>LG 10</t>
  </si>
  <si>
    <t>LG 11</t>
  </si>
  <si>
    <t>linéaire</t>
  </si>
  <si>
    <t>ep</t>
  </si>
  <si>
    <t>ht</t>
  </si>
  <si>
    <t>Cubage béton</t>
  </si>
  <si>
    <t xml:space="preserve">LOT N°2  GROS ŒUVRE </t>
  </si>
  <si>
    <t>2.1 NOTE AUX ENTREPRISES</t>
  </si>
  <si>
    <t>2.1.1 ETANCHEITE A L’AIR</t>
  </si>
  <si>
    <t>2.1.2 MARQUES – MODELES - GAMMES</t>
  </si>
  <si>
    <t>2.2 PREPARATION ET INSTALLATION DE CHANTIER</t>
  </si>
  <si>
    <t>2.2.1 PREPARATION DE CHANTIER</t>
  </si>
  <si>
    <t>2.2.1.1 CONSTAT D’HUISSIER</t>
  </si>
  <si>
    <t>2.2.1.2 AFFICHAGE REGLEMENTAIRE</t>
  </si>
  <si>
    <t>2.2.2 INSTALLATION DE CHANTIER</t>
  </si>
  <si>
    <t>2.2.2.1 BASE VIE</t>
  </si>
  <si>
    <t>2.2.2.1.1 BUREAU DE CHANTIER</t>
  </si>
  <si>
    <t>2.2.2.1.2 REFECTOIRE DE CHANTIER</t>
  </si>
  <si>
    <t>2.2.2.1.3 VESTIAIRES DE CHANTIER</t>
  </si>
  <si>
    <t>2.2.2.1.4 SANITAIRES DE CHANTIER</t>
  </si>
  <si>
    <t>2.2.2.1.5 CLOTURES PROVISOIRES ET ACCES CHANTIER</t>
  </si>
  <si>
    <t>2.2.2.2 RESEAUX PROVISOIRES</t>
  </si>
  <si>
    <t>2.2.2.2.1 INSTALLATION ELECTRIQUE PROVISOIRE</t>
  </si>
  <si>
    <t>2.2.2.2.2 INSTALLATION TELEPHONIQUE PROVISOIRE</t>
  </si>
  <si>
    <t>2.2.2.2.3 INSTALLATION EN EAU PROVISOIRE</t>
  </si>
  <si>
    <t>2.2.2.3 DIVERS</t>
  </si>
  <si>
    <t>2.2.2.3.1 TRI DES DECHETS</t>
  </si>
  <si>
    <t xml:space="preserve">2.3 RESEAUX INTERIEURS </t>
  </si>
  <si>
    <t xml:space="preserve">2.3.1 FOUILLES EN TRANCHEE POUR RESEAUX INTERIEURS. </t>
  </si>
  <si>
    <t xml:space="preserve">2.3.2 RESEAU EP </t>
  </si>
  <si>
    <t>2.3.2.1 CANALISATIONS EP</t>
  </si>
  <si>
    <t>2.3.3 RESEAU EU</t>
  </si>
  <si>
    <t>2.3.3.1 CANALISATIONS EU</t>
  </si>
  <si>
    <t>2.3.4 RESEAU AEP</t>
  </si>
  <si>
    <t>2.3.5 RESEAUX SECS</t>
  </si>
  <si>
    <t>2.3.5.1 ELECTRICITE</t>
  </si>
  <si>
    <t>Localisation : Depuis 1m du nu extérieur jusqu’en local technique.</t>
  </si>
  <si>
    <t xml:space="preserve">2.3.5.1.1 FOURREAUX </t>
  </si>
  <si>
    <t>2.3.5.2 RESEAU TELECOM</t>
  </si>
  <si>
    <t>2.3.5.3 RESEAU GAZ</t>
  </si>
  <si>
    <t>Fourreau ventilé Anti propagation de feu</t>
  </si>
  <si>
    <t xml:space="preserve">2.4 FONDATIONS </t>
  </si>
  <si>
    <t xml:space="preserve">2.4.1 FOUILLES EN RIGOLES OU EN TROUS POUR FONDATIONS </t>
  </si>
  <si>
    <t xml:space="preserve">2.4.2 MASSIFS GROS BETON </t>
  </si>
  <si>
    <t>2.4.3 SEMELLES ISOLEES (MASSIFS)</t>
  </si>
  <si>
    <t xml:space="preserve">2.4.3.1 BETON </t>
  </si>
  <si>
    <t xml:space="preserve">2.4.3.2 COFFRAGE </t>
  </si>
  <si>
    <t>2.4.3.3 ACIER</t>
  </si>
  <si>
    <t xml:space="preserve">2.4.4 LONGRINES </t>
  </si>
  <si>
    <t>2.4.4.1 GROS BETON DE PROPRETE SOUS LONGRINES</t>
  </si>
  <si>
    <t xml:space="preserve">2.4.4.2 BETON </t>
  </si>
  <si>
    <t xml:space="preserve">2.4.4.3 COFFRAGE </t>
  </si>
  <si>
    <t xml:space="preserve">2.4.4.4 ACIERS </t>
  </si>
  <si>
    <t>2.4.5 POSE DES PLATINES DE CHARPENTE</t>
  </si>
  <si>
    <t xml:space="preserve">2.4.6 ISOLATIONS COMPLEMENTAIRES EN SOUS BASSEMENT </t>
  </si>
  <si>
    <t xml:space="preserve">2.5 DALLAGE SUR TERRE PLEIN </t>
  </si>
  <si>
    <t xml:space="preserve">Montant HT LOT N°2  GROS ŒUVRE </t>
  </si>
  <si>
    <t xml:space="preserve">Montant TTC LOT N°2  GROS ŒUVRE </t>
  </si>
  <si>
    <r>
      <t>m</t>
    </r>
    <r>
      <rPr>
        <vertAlign val="superscript"/>
        <sz val="11"/>
        <color theme="1"/>
        <rFont val="Cambria"/>
        <family val="1"/>
      </rPr>
      <t>3</t>
    </r>
  </si>
  <si>
    <t>GB sous Longrine</t>
  </si>
  <si>
    <t>kg</t>
  </si>
  <si>
    <t xml:space="preserve">SO </t>
  </si>
  <si>
    <t xml:space="preserve">5.3.2 VARIANTE N°1 - L5- LETTRAGE EN FAÇADE </t>
  </si>
  <si>
    <t>5.3.3 VARIANTE N°2 – L5 :  TOTEM</t>
  </si>
  <si>
    <t>Montant HT VARIANTE N°2 – L5 :  TOTEM</t>
  </si>
  <si>
    <r>
      <rPr>
        <b/>
        <sz val="11"/>
        <color theme="1"/>
        <rFont val="Cambria"/>
        <family val="2"/>
      </rPr>
      <t>SARL eKo</t>
    </r>
    <r>
      <rPr>
        <sz val="11"/>
        <color theme="1"/>
        <rFont val="Cambria"/>
        <family val="2"/>
      </rPr>
      <t xml:space="preserve">
6 Rue du Breuil - 15100 SAINT FLOUR
Tél. 04 71 20 31 40 - Fax : 04 71 20 56 59 - E-mail : ste.eko@orange.fr</t>
    </r>
  </si>
  <si>
    <r>
      <rPr>
        <b/>
        <sz val="11"/>
        <color theme="1"/>
        <rFont val="Cambria"/>
        <family val="2"/>
      </rPr>
      <t xml:space="preserve">CYMEIA </t>
    </r>
    <r>
      <rPr>
        <sz val="11"/>
        <color theme="1"/>
        <rFont val="Cambria"/>
        <family val="2"/>
      </rPr>
      <t xml:space="preserve">
7, rue de l'Ancien Cimetière - 63160 BILLOM
 Tél: 07 68 50 46 90- E-Mail : y.mingorance@cymeia.fr</t>
    </r>
  </si>
  <si>
    <r>
      <rPr>
        <b/>
        <sz val="11"/>
        <color theme="1"/>
        <rFont val="Cambria"/>
        <family val="2"/>
      </rPr>
      <t>IDEUM PARTNERS</t>
    </r>
    <r>
      <rPr>
        <sz val="11"/>
        <color theme="1"/>
        <rFont val="Cambria"/>
        <family val="2"/>
      </rPr>
      <t xml:space="preserve">
Centre d'Affaires du Zénith 32 rue du Sarliève 63800 COURNON D'AUVERGNE
Tel : 04 73 41 05 94 -  Fax : 04 73 62 39 37 - E-mail : contact@ideum.fr</t>
    </r>
  </si>
  <si>
    <t>4.3.1 BARDAGE DOUBLE PEAU A PAREMENT VERTICAL .</t>
  </si>
  <si>
    <t xml:space="preserve">4.3.1.1 PV POUR PLATEAUX ACOUSTIQUES </t>
  </si>
  <si>
    <t>4.3 BARDAGE BAC ACIER DOUBLE PEAU</t>
  </si>
  <si>
    <t xml:space="preserve">DOSSIER DE CONSULTATION DES ENTREPRISES </t>
  </si>
  <si>
    <t>CONSTRUCTION D'UNE SALLE MULTIFONCTIONNELLE 
AVEC 2 TERRAINS DE TENNIS EXTERIEURS</t>
  </si>
  <si>
    <t>COMMUNE DE SAINT BONNET PRES RIOM</t>
  </si>
  <si>
    <r>
      <t xml:space="preserve">Cédric Alemant 
</t>
    </r>
    <r>
      <rPr>
        <sz val="11"/>
        <color theme="1"/>
        <rFont val="Cambria"/>
        <family val="1"/>
      </rPr>
      <t xml:space="preserve">78 bis, rue de Brioude - 63 500 Issoire
06 81 65 01 18 - E-mail : ca.a@orange.fr </t>
    </r>
  </si>
  <si>
    <t>63 200 Saint Bonnet Près Riom</t>
  </si>
  <si>
    <t>Fait en Octobre 2017</t>
  </si>
  <si>
    <t>LOT N°3 - STRUCTURE METALLIQUE</t>
  </si>
  <si>
    <t>LOT N°4 - COUVERTURE ET BARDAGE BACS ACIER</t>
  </si>
  <si>
    <t>LOT N°5 - MENUISERIES EXTERIEURES ALUMINIUM</t>
  </si>
  <si>
    <t>LOT N°6 - MENUISERIES INTERIEURES AGENCEMENT</t>
  </si>
  <si>
    <t>LOT N°7 - PLATRERIE - ISOLATION  - FAUX PLAFONDS</t>
  </si>
  <si>
    <t>LOT N°8 - CARRELAGES - FAIENCES</t>
  </si>
  <si>
    <t>LOT N°9 - PEINTURES - NETTOYAGE</t>
  </si>
  <si>
    <t xml:space="preserve">6.5 AMENAGEMENT ZONE BAR </t>
  </si>
  <si>
    <t xml:space="preserve">6.5.1 PLACARDS </t>
  </si>
  <si>
    <t xml:space="preserve">6.5.1.1 PORTES BATTANTES 2V </t>
  </si>
  <si>
    <t xml:space="preserve">6.5.1.2 RAYONNAGE </t>
  </si>
  <si>
    <t xml:space="preserve">7.2.2 DOUBLAGE PERIPHERIQUE DE TYPE OPTIMA 30+18 </t>
  </si>
  <si>
    <t>Localisation :  dans la cloison isolante SAD 200 et en doublage 30+18</t>
  </si>
  <si>
    <t>LOCALISATION :  ensemble des Sanitaires et vestiaires et cuisine</t>
  </si>
  <si>
    <t>Localisation : salle tennis</t>
  </si>
  <si>
    <t>LOCALISATION :  ensemble des Sanitaires et vestiaires -cuisine</t>
  </si>
  <si>
    <t xml:space="preserve">9.6 VARIANTES </t>
  </si>
  <si>
    <t xml:space="preserve">9.6.1 VARIANTE N°1 – L9 - PLAFOND PLAQUES DE PLATRE </t>
  </si>
  <si>
    <t xml:space="preserve">9.6.1.1 PEINTURE LESSIVABLE SATINEE </t>
  </si>
  <si>
    <t xml:space="preserve">Montant HT VARIANTE N°1 – L9 - PLAFOND PLAQUES DE PLATRE </t>
  </si>
  <si>
    <t>5.3.2.1 DIMENSIONS : 900*1170 HT (1U)</t>
  </si>
  <si>
    <t>5.3.2.2 DIMENSIONS 1710*1700 HT (1U)</t>
  </si>
  <si>
    <t>5.3.2.3 DIMENSIONS 950*2100 HT (U=3)</t>
  </si>
  <si>
    <t>5.3.2.4 ENSEMBLES SUR SALLE MULTIFONCTION</t>
  </si>
  <si>
    <t>5.3.2.4.1 DIMENSIONS 1110*2150 (4U)</t>
  </si>
  <si>
    <t>5.3.2.4.2 DIMENSIONS 1860*2150 HT (2U)</t>
  </si>
  <si>
    <t>5.3.2.5 ENSEMBLE SUR SALLE TENNIS</t>
  </si>
  <si>
    <t>5.3.2.5.1 DIMENSIONS 1800*1650 HT (3U)</t>
  </si>
  <si>
    <t>5.3.1 VARIANTE - L5 - SIGNALETIQUE</t>
  </si>
  <si>
    <t xml:space="preserve">Montant HT VARIANTE N°1 - L5- LETTRAGE EN FAÇADE </t>
  </si>
  <si>
    <t xml:space="preserve">Montant TTC VARIANTE N°1 - L5- LETTRAGE EN FAÇADE </t>
  </si>
  <si>
    <t>Montant TTC VARIANTE N°2 – L5 :  TOTEM</t>
  </si>
  <si>
    <t xml:space="preserve">5.3.2.5.2 DIMENSIONS 1800*2150 HT </t>
  </si>
  <si>
    <t>Montant HT VARIANTE N°1 – L6 - CLOISON EXTENSIBLE</t>
  </si>
  <si>
    <t>Montant TTC VARIANTE N°1 – L6 - CLOISON EXTENSIBLE</t>
  </si>
  <si>
    <t>Montant HT VARIANTE N°2 – L6 - CLOISON MOBILE</t>
  </si>
  <si>
    <t>Montant TTC VARIANTE N°2 – L6 - CLOISON MOBILE</t>
  </si>
  <si>
    <t xml:space="preserve">Montant HT VARIANTE N°3 – L6 – AMENAGEMENT ZONE BAR </t>
  </si>
  <si>
    <t xml:space="preserve">Montant TTC VARIANTE N°3 – L6 – AMENAGEMENT ZONE BAR </t>
  </si>
  <si>
    <t>Localisation :  Bureaux (Tennis, libre, foot et rugby)</t>
  </si>
  <si>
    <t xml:space="preserve">7.4.2.2 PLAFONDS PLAQUES DE PLATRE </t>
  </si>
  <si>
    <t xml:space="preserve">déduc </t>
  </si>
  <si>
    <t>Montant TTC Lot N°3 - STRUCTURE METALLIQUE</t>
  </si>
  <si>
    <t>6.2.2.1.2 1V DIMENSIONS 93 * 204HT SERRURE BEC DE CANE (SDB/WC), (5U)</t>
  </si>
  <si>
    <t xml:space="preserve">LOCALISATION :   Porte entre Blocs sanitaires H et F donnant sur la salle multifonction </t>
  </si>
  <si>
    <t>6.2.2.1.1 1V DIMENSIONS 93 * 204 HT A PENE DORMANT (2U)</t>
  </si>
  <si>
    <t>LOCALISATION :  Zone tennis : WC, vestiaire H et F  et distribution WC PMR salle multifonction</t>
  </si>
  <si>
    <t>6.2.2.1.3 1V DIMENSIONS 83 * 204HT SERRURE BEC DE CANE (SDB/WC), (1U)</t>
  </si>
  <si>
    <t>LOCALISATION :  WC Non PMR Sanitaires femme</t>
  </si>
  <si>
    <t>8.4.1 CARRELAGE GRES CERAME 60*60</t>
  </si>
  <si>
    <t>Localisation :  Ensemble de l’opération hors locaux suivants : cuisines, local technique et WC/douches tennis.</t>
  </si>
  <si>
    <t xml:space="preserve">MV pour suppression de prestations prévues en base </t>
  </si>
  <si>
    <t>MV carrelage 30x30</t>
  </si>
  <si>
    <t xml:space="preserve">Montant TTC VARIANTE N°1 – L9 - PLAFOND PLAQUES DE PLATRE </t>
  </si>
  <si>
    <t>9.6.2 VARIANTE N°2  -L9 - PEINTURE SUR OSSATURE POUR CASQUETTE EN CONSOLE</t>
  </si>
  <si>
    <t>9.6.2.1 PEINTURE SUR METAUX EXTERIEUR</t>
  </si>
  <si>
    <t xml:space="preserve">Localisation :   Ensemble de l’ossature de la casquette en console </t>
  </si>
  <si>
    <t>Montant HT VARIANTE N°2  -L9 - PEINTURE SUR OSSATURE POUR CASQUETTE EN CONSOLE</t>
  </si>
  <si>
    <t>Montant TTC VARIANTE N°2  -L9 - PEINTURE SUR OSSATURE POUR CASQUETTE EN CONSOLE</t>
  </si>
  <si>
    <t>4.4 VARIANTE DEMANDEE</t>
  </si>
  <si>
    <t>4.4.1 VARIANTE N°1 – L4 – OSSATURE POUR CASQUETTE EN CONSOLE</t>
  </si>
  <si>
    <t>Montant HT VARIANTE N°1 – L4 – OSSATURE POUR CASQUETTE EN CONSOLE</t>
  </si>
  <si>
    <t>Montant TTC VARIANTE N°1 – L4 – OSSATURE POUR CASQUETTE EN CONSOLE</t>
  </si>
  <si>
    <t>3.5.1 VARIANTE N°1 - L3 - OSSATURE POUR CASQUETTE EN CONSOLE</t>
  </si>
  <si>
    <t>Montant HT  - VARIANTE N°1 - L3 - OSSATURE POUR CASQUETTE EN CONSOLE</t>
  </si>
  <si>
    <t>Montant TTC   VARIANTE N°1 - L3 - OSSATURE POUR CASQUETTE EN CONSOLE</t>
  </si>
  <si>
    <t>8.4 VARIANTE N°1 - L8 - CARRELAGE GRES CERAME 60*60</t>
  </si>
  <si>
    <t>Montant HT VARIANTE N°1 - L8 - CARRELAGE GRES CERAME 60*60</t>
  </si>
  <si>
    <t>Montant TTC VARIANTE N°1 - L8 - CARRELAGE GRES CERAME 60*60</t>
  </si>
  <si>
    <t>Montant HT VARIANTE N°3 - L5 - VOLETS ROULANTS ELECTRIQUES</t>
  </si>
  <si>
    <t>5.3.2 VARIANTE N°3 - L5 - VOLETS ROULANTS ELECTRIQUES</t>
  </si>
  <si>
    <t>Montant TTC VARIANTE N°3 - L5 - VOLETS ROULANTS ELECTRIQUES</t>
  </si>
  <si>
    <t>douches</t>
  </si>
  <si>
    <t>san</t>
  </si>
  <si>
    <t>bureau</t>
  </si>
  <si>
    <t>LOCALISATION :  Ensemble des parois verticales de la cuisine, toute hauteur en périphérie complète</t>
  </si>
  <si>
    <t>8.3.2 FAIENCES DE COULEUR</t>
  </si>
  <si>
    <t>Localisation : blocs sanitaires communs sur 1.20m de hauteur ;  hauteur 2.00 m sur l’ensemble des parois plâtre des douches</t>
  </si>
  <si>
    <t>8.3.3 ETANCHEITE EN PAROIS VERTICALES</t>
  </si>
  <si>
    <t>8.3.5 JOINT D'ETANCHEITE</t>
  </si>
  <si>
    <t>Localisation :  En dosseret des appareillages sanitaires.</t>
  </si>
  <si>
    <t>9.4.1 OUVRAGES INTERIEURES - EXTERIEURS</t>
  </si>
  <si>
    <t xml:space="preserve">Localisation : Dauphins fontes, platines hautes et basses des poteaux + structure apparente </t>
  </si>
  <si>
    <t>3.4.1 PORTES ACIER THERMOLAQUEES - EI30</t>
  </si>
  <si>
    <t>3.4.1.1 PORTES ACIER PLEINES 1 VANTAIL - EI30</t>
  </si>
  <si>
    <t xml:space="preserve">4.4.2.1 PV POUR PLATEAUX ACOUSTIQUES </t>
  </si>
  <si>
    <t xml:space="preserve">4.4.2 VARIANTE N°2 – L4 – BARDAGE SOLUTION ALTERNATIVE </t>
  </si>
  <si>
    <t xml:space="preserve">Montant HT VARIANTE N°2 – L4 – BARDAGE SOLUTION ALTERNATIVE  </t>
  </si>
  <si>
    <t xml:space="preserve">Montant TTC VARIANTE N°2 – L4 – BARDAGE SOLUTION ALTERNATIVE  </t>
  </si>
  <si>
    <t xml:space="preserve">4.3.2.7 PV POUR ETANCHEITE BAIE FIXE SUD </t>
  </si>
  <si>
    <t>fixe</t>
  </si>
  <si>
    <t>coulissant</t>
  </si>
  <si>
    <t>porte</t>
  </si>
  <si>
    <t>5.2.3.2 ENSEMBLE VITRE : DIMENSIONS : 8200*2150HT (PORTE 2V + FIXE + PORTE 2V)</t>
  </si>
  <si>
    <t xml:space="preserve">6.6 DIVERS </t>
  </si>
  <si>
    <t>6.6.1 TABLETTES/BANCS</t>
  </si>
  <si>
    <t>Localisation : Pignon Sud au droit du châssis et pignon Nord dans la salle de tennis</t>
  </si>
  <si>
    <t xml:space="preserve">6.7.3.1 COMPTOIR DE BAR </t>
  </si>
  <si>
    <t xml:space="preserve">6.7.3 VARIANTE N°3 – L6 – AMENAGEMENT ZONE BAR </t>
  </si>
  <si>
    <t>6.7 VARIANTE DEMANDEE</t>
  </si>
  <si>
    <t>6.7.1 VARIANTE N°1 – L6 - CLOISON EXTENSIBLE</t>
  </si>
  <si>
    <t>6.7.2 VARIANTE N°2 – L6 - CLOISON MOBILE</t>
  </si>
  <si>
    <t>LOCALISATION :  placard ménage WC F</t>
  </si>
  <si>
    <t>6.2.2.3.3 1V DIMENSIONS 73*204 HT  A PENE DORMANT (1U)</t>
  </si>
  <si>
    <t xml:space="preserve">5.2.2.2 CHASSIS OSCILLO-BATTANT  - 1V DIMENSIONS 900*1170 HT </t>
  </si>
  <si>
    <t>5.2.3.1 ENSEMBLE VITRE : DIMENSIONS : 7340*2150HT (COULISSANTS + PORTE 1V+FIXES+ COULISSANTS)</t>
  </si>
  <si>
    <t>2.5.1 PV ISOLATION SOUS DALLAGE</t>
  </si>
  <si>
    <t xml:space="preserve">2.5.2 PV POUR FORME DE PENTE </t>
  </si>
  <si>
    <t>LOCALISATION :  douches ,  office et local technique</t>
  </si>
  <si>
    <t xml:space="preserve">8.2.1 CARRELAGE GRES CERAME 30X30 POSE COLLEE </t>
  </si>
  <si>
    <t>7.3.2 CLOISONS SAD 180 AVEC 2 BA13 PAR FACES  CF1H</t>
  </si>
  <si>
    <t>Peintures sur platre  verticalesavant déduction</t>
  </si>
  <si>
    <t>déduc faiences</t>
  </si>
  <si>
    <t xml:space="preserve">déduc portes </t>
  </si>
  <si>
    <t>Localisation : ensemble des plafonds suspendus cuisine</t>
  </si>
  <si>
    <t>Localisation :  local technique contre autres locaux -  zone tennis contre zone salle multifonction et sanitaires afiliants et  bureau foot et rugby contre zone salle multifonction et sanitaires affiliant, selon plans architecte</t>
  </si>
  <si>
    <t xml:space="preserve">2.1.3 COMPETENCE </t>
  </si>
  <si>
    <t>2.1.4 DIVERS</t>
  </si>
  <si>
    <t>3.1 NOTE AUX ENTREPRISES</t>
  </si>
  <si>
    <t>3.1.1 ETANCHEITE A L’AIR</t>
  </si>
  <si>
    <t>3.1.2 MARQUES – MODELES - GAMMES</t>
  </si>
  <si>
    <t xml:space="preserve">3.1.3 COMPETENCE </t>
  </si>
  <si>
    <t>3.1.4 DIVERS</t>
  </si>
  <si>
    <t>ratio</t>
  </si>
  <si>
    <t>2.1.5 ETUDE D’EXECUTION</t>
  </si>
  <si>
    <t>3.4.1.1.1 DIMENSIONS 1200*2100 HT (U=1)</t>
  </si>
  <si>
    <t xml:space="preserve">7.7.1 VARIANTE N°1 – L7 - PLAFOND PLAQUES DE PLATRE </t>
  </si>
  <si>
    <t xml:space="preserve">6.6.2 PLINTHES SAPIN </t>
  </si>
  <si>
    <t>Localisation :   en périphérie des locaux recevant du carrelage (hors douches et cuisine et bardage de la grande salle)</t>
  </si>
  <si>
    <t>Localisation : Ensemble des menuiseries bois intérieures :, blocs-portes, baguettes, tablettes, plinthes etc….</t>
  </si>
  <si>
    <t>9.1.4 PREPARATION DES SURFACES</t>
  </si>
  <si>
    <t>9.1.3 DIVERS</t>
  </si>
  <si>
    <t xml:space="preserve">9.1.2 COMPETENCE </t>
  </si>
  <si>
    <t>9.4.2.1 CUIVRE POUR CHAUFFAGE</t>
  </si>
  <si>
    <t>9.4.2.2 CUIVRE POUR EAU</t>
  </si>
  <si>
    <t>9.4.2.3 PVC EVACUATION</t>
  </si>
  <si>
    <t>8.2.1.1 PV POUR FORME DE PENTE ET ETANCHEITE EN SOL</t>
  </si>
  <si>
    <t>8.2.1.2 PV POUR SIPHONS</t>
  </si>
  <si>
    <t>LOCALISATION :  douches ,  local technique</t>
  </si>
  <si>
    <t xml:space="preserve">Montant HT VARIANTE N°1 – L7 - PLAFOND PLAQUES DE PLATRE </t>
  </si>
  <si>
    <t>Montant TTC VARIANTE N°1 – L7 - PLAFOND PLAQUES DE PLATRE</t>
  </si>
  <si>
    <t>8.1.3 DIVERS</t>
  </si>
  <si>
    <t xml:space="preserve">8.1.2 COMPETENCE </t>
  </si>
  <si>
    <t xml:space="preserve">7.1.3 COMPETENCE </t>
  </si>
  <si>
    <t>7.1.4 DIVERS</t>
  </si>
  <si>
    <t>7.1.1 ETANCHEITE A L’AIR  (test intermédiaire)</t>
  </si>
  <si>
    <t xml:space="preserve">LOCALISATION :  ensemble des Sanitaires et vestiaires </t>
  </si>
  <si>
    <t xml:space="preserve">3.4.2 GRILLE DE VENTILATION 1000X600MM </t>
  </si>
  <si>
    <t>4.2.2.2 SORTIE VENTILATION MECANIQUE CONTROLEE (VMCØ500)</t>
  </si>
  <si>
    <t>Localisation :  3unités selon plan de plomberie</t>
  </si>
  <si>
    <t>Localisation :  au-dessus du local technique selon plan de ventilation</t>
  </si>
  <si>
    <t>6.7.4 VARIANTE N°4 – L6 – VENTOUSES SUR PORTE CUISINE</t>
  </si>
  <si>
    <t>Montant HT VARIANTE N°4 – L6 – VENTOUSES SUR PORTE CUISINE</t>
  </si>
  <si>
    <t>Montant TTC VARIANTE N°4 – L6 – VENTOUSES SUR PORTE CUISINE</t>
  </si>
  <si>
    <t xml:space="preserve">Déduction poste prévu en base </t>
  </si>
  <si>
    <t>2.3.3.2 ATTENTE EU</t>
  </si>
  <si>
    <t>2.3.3.2.1 DIAMETRE 100</t>
  </si>
  <si>
    <t>2.3.3.2.2 DIAMETRE 40</t>
  </si>
  <si>
    <t>LOCALISATION :  Selon plans du BET et siphons de sol</t>
  </si>
  <si>
    <t>2.3.4.1 FOURREAU Ø63</t>
  </si>
  <si>
    <t>2.3.5.1.1.1 Ø 110</t>
  </si>
  <si>
    <t>2.3.5.2.1 FOURREAUX Ø 42/45 (3U)</t>
  </si>
  <si>
    <t xml:space="preserve">7.3.3 PV POUR PASSAGE DE RESEAUX GRANDS DIAMETRES </t>
  </si>
  <si>
    <t>7.3.3.1 DANS SAD  180 - Ø450 (2U)</t>
  </si>
  <si>
    <t>7.3.3.2 DANS SAD  180 – Ø400 (2U)</t>
  </si>
  <si>
    <t>7.3.3.3 DANS SAD  180 – Ø250 (1U)</t>
  </si>
  <si>
    <t>7.3.3.4 DANS 84/48 – Ø 160 (1U)</t>
  </si>
  <si>
    <t>7.3.3.5 DANS 84/48 – Ø 125 (1U)</t>
  </si>
  <si>
    <t xml:space="preserve">2.3.5.1.1.2 Ø 63 </t>
  </si>
  <si>
    <t>2.3.5.1.1.3 Ø 40</t>
  </si>
  <si>
    <t>2.3.5.3.1 COFFRET DE COUPURE GAZ</t>
  </si>
  <si>
    <t>2.3.5.1.1 COFFRET DE COUPURE ELECTRICITE</t>
  </si>
  <si>
    <t xml:space="preserve">terrassement fondations </t>
  </si>
  <si>
    <t>NOTE AUX ENTREPRISES
Les propositions de prix étant globales et forfaitaires, les entreprises sont invitées à vérifier les quantités portées au Cadre Quantitatif et éventuellement à apporter toutes modifications qui s'imposent.
Une fois les offres remises, les quantités seront considérées comme étant celles des entreprises.
Tout manquement de travaux nécessaires à la destination de l'ouvrage et à son fonctionnement normal sera à la charge de l'entreprise.
L'entrepreneur,</t>
  </si>
  <si>
    <t>DECOMPOSITION DU PRIX GLOBAL ET FORFAITAIRE</t>
  </si>
  <si>
    <t>D.P.G.F.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</si>
</sst>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20" x14ac:knownFonts="1">
    <font>
      <sz val="11"/>
      <color theme="1"/>
      <name val="Cambria"/>
      <family val="2"/>
    </font>
    <font>
      <b/>
      <sz val="11"/>
      <color theme="1"/>
      <name val="Cambria"/>
      <family val="1"/>
    </font>
    <font>
      <sz val="10"/>
      <color theme="1"/>
      <name val="Cambria"/>
      <family val="2"/>
    </font>
    <font>
      <b/>
      <sz val="11"/>
      <color theme="1"/>
      <name val="Cambria"/>
      <family val="2"/>
    </font>
    <font>
      <b/>
      <sz val="20"/>
      <color theme="1"/>
      <name val="Cambria"/>
      <family val="2"/>
    </font>
    <font>
      <b/>
      <sz val="14"/>
      <color theme="1"/>
      <name val="Cambria"/>
      <family val="2"/>
    </font>
    <font>
      <b/>
      <sz val="18"/>
      <color theme="1"/>
      <name val="Cambria"/>
      <family val="2"/>
    </font>
    <font>
      <b/>
      <sz val="16"/>
      <color theme="1"/>
      <name val="Cambria"/>
      <family val="2"/>
    </font>
    <font>
      <i/>
      <sz val="11"/>
      <color theme="5" tint="-0.499984740745262"/>
      <name val="Cambria"/>
      <family val="1"/>
    </font>
    <font>
      <i/>
      <sz val="10"/>
      <color theme="5" tint="-0.499984740745262"/>
      <name val="Cambria"/>
      <family val="1"/>
    </font>
    <font>
      <b/>
      <sz val="11"/>
      <color indexed="8"/>
      <name val="Cambria"/>
      <family val="1"/>
    </font>
    <font>
      <b/>
      <sz val="12"/>
      <color theme="1"/>
      <name val="Cambria"/>
      <family val="2"/>
    </font>
    <font>
      <vertAlign val="superscript"/>
      <sz val="11"/>
      <color theme="1"/>
      <name val="Cambria"/>
      <family val="1"/>
    </font>
    <font>
      <sz val="11"/>
      <name val="Cambria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165" fontId="1" fillId="0" borderId="0" xfId="0" applyNumberFormat="1" applyFont="1"/>
    <xf numFmtId="0" fontId="0" fillId="0" borderId="0" xfId="0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0" fillId="0" borderId="1" xfId="0" applyBorder="1" applyAlignment="1">
      <alignment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wrapText="1" indent="3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1" xfId="0" applyFont="1" applyBorder="1" applyAlignment="1">
      <alignment horizontal="left" wrapText="1" indent="3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wrapText="1" indent="3"/>
    </xf>
    <xf numFmtId="0" fontId="0" fillId="0" borderId="9" xfId="0" applyBorder="1"/>
    <xf numFmtId="0" fontId="0" fillId="0" borderId="0" xfId="0" applyBorder="1"/>
    <xf numFmtId="4" fontId="0" fillId="0" borderId="0" xfId="0" applyNumberFormat="1" applyBorder="1"/>
    <xf numFmtId="4" fontId="0" fillId="0" borderId="10" xfId="0" applyNumberFormat="1" applyBorder="1"/>
    <xf numFmtId="0" fontId="0" fillId="0" borderId="12" xfId="0" applyBorder="1"/>
    <xf numFmtId="0" fontId="0" fillId="0" borderId="5" xfId="0" applyBorder="1"/>
    <xf numFmtId="4" fontId="0" fillId="0" borderId="5" xfId="0" applyNumberFormat="1" applyBorder="1"/>
    <xf numFmtId="4" fontId="0" fillId="0" borderId="13" xfId="0" applyNumberFormat="1" applyBorder="1"/>
    <xf numFmtId="0" fontId="0" fillId="0" borderId="0" xfId="0" applyAlignment="1">
      <alignment horizontal="left" indent="2"/>
    </xf>
    <xf numFmtId="0" fontId="1" fillId="0" borderId="1" xfId="0" applyFont="1" applyBorder="1"/>
    <xf numFmtId="0" fontId="0" fillId="0" borderId="1" xfId="0" applyBorder="1" applyAlignment="1">
      <alignment horizontal="right" indent="2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/>
    <xf numFmtId="0" fontId="8" fillId="0" borderId="1" xfId="0" applyFont="1" applyBorder="1" applyAlignment="1">
      <alignment horizontal="left" wrapText="1" indent="2"/>
    </xf>
    <xf numFmtId="20" fontId="0" fillId="0" borderId="1" xfId="0" applyNumberFormat="1" applyBorder="1"/>
    <xf numFmtId="0" fontId="9" fillId="0" borderId="1" xfId="0" applyFont="1" applyBorder="1" applyAlignment="1">
      <alignment horizontal="left" indent="2"/>
    </xf>
    <xf numFmtId="4" fontId="1" fillId="0" borderId="1" xfId="0" applyNumberFormat="1" applyFont="1" applyBorder="1" applyAlignment="1">
      <alignment vertical="center"/>
    </xf>
    <xf numFmtId="0" fontId="0" fillId="0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/>
    <xf numFmtId="4" fontId="13" fillId="0" borderId="1" xfId="0" applyNumberFormat="1" applyFont="1" applyBorder="1" applyAlignment="1">
      <alignment vertical="center"/>
    </xf>
    <xf numFmtId="17" fontId="16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1" xfId="0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 indent="2"/>
    </xf>
    <xf numFmtId="4" fontId="0" fillId="0" borderId="1" xfId="0" quotePrefix="1" applyNumberFormat="1" applyBorder="1"/>
    <xf numFmtId="0" fontId="17" fillId="0" borderId="1" xfId="0" applyFont="1" applyBorder="1" applyAlignment="1">
      <alignment horizontal="left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2" xfId="0" applyBorder="1" applyAlignment="1">
      <alignment wrapText="1"/>
    </xf>
    <xf numFmtId="4" fontId="13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4" fontId="0" fillId="0" borderId="11" xfId="0" applyNumberFormat="1" applyFont="1" applyFill="1" applyBorder="1" applyAlignment="1">
      <alignment vertical="center"/>
    </xf>
    <xf numFmtId="4" fontId="0" fillId="0" borderId="0" xfId="0" applyNumberFormat="1" applyFill="1"/>
    <xf numFmtId="0" fontId="9" fillId="0" borderId="3" xfId="0" applyFont="1" applyFill="1" applyBorder="1" applyAlignment="1">
      <alignment horizontal="left" indent="2"/>
    </xf>
    <xf numFmtId="0" fontId="9" fillId="0" borderId="1" xfId="0" applyFont="1" applyFill="1" applyBorder="1" applyAlignment="1">
      <alignment horizontal="left" indent="2"/>
    </xf>
    <xf numFmtId="4" fontId="0" fillId="0" borderId="16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indent="2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9" fillId="0" borderId="3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indent="1"/>
    </xf>
    <xf numFmtId="0" fontId="0" fillId="2" borderId="0" xfId="0" applyFill="1"/>
    <xf numFmtId="49" fontId="10" fillId="0" borderId="1" xfId="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Fill="1" applyBorder="1" applyAlignment="1" applyProtection="1">
      <alignment horizontal="left" vertical="center" indent="1"/>
    </xf>
    <xf numFmtId="0" fontId="19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17" fontId="1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horizontal="left" indent="1"/>
    </xf>
    <xf numFmtId="0" fontId="18" fillId="0" borderId="1" xfId="0" applyFont="1" applyBorder="1" applyAlignment="1">
      <alignment horizontal="left" vertical="center" inden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0" fillId="0" borderId="0" xfId="0" applyFill="1"/>
    <xf numFmtId="0" fontId="17" fillId="0" borderId="1" xfId="0" applyFont="1" applyBorder="1" applyAlignment="1">
      <alignment horizontal="left" wrapText="1" indent="1"/>
    </xf>
    <xf numFmtId="0" fontId="0" fillId="0" borderId="1" xfId="0" applyFill="1" applyBorder="1" applyAlignment="1">
      <alignment horizontal="left" indent="3"/>
    </xf>
    <xf numFmtId="0" fontId="9" fillId="0" borderId="1" xfId="0" applyFont="1" applyFill="1" applyBorder="1" applyAlignment="1">
      <alignment horizontal="left" indent="3"/>
    </xf>
    <xf numFmtId="0" fontId="17" fillId="0" borderId="1" xfId="0" applyFont="1" applyFill="1" applyBorder="1" applyAlignment="1">
      <alignment horizontal="left" wrapText="1" indent="1"/>
    </xf>
    <xf numFmtId="4" fontId="14" fillId="0" borderId="1" xfId="0" applyNumberFormat="1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indent="4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2" sqref="J32"/>
    </sheetView>
  </sheetViews>
  <sheetFormatPr baseColWidth="10" defaultRowHeight="14.25" x14ac:dyDescent="0.2"/>
  <cols>
    <col min="1" max="1" width="19.75" bestFit="1" customWidth="1"/>
    <col min="2" max="2" width="5.875" bestFit="1" customWidth="1"/>
    <col min="3" max="3" width="4.875" bestFit="1" customWidth="1"/>
    <col min="5" max="5" width="3.875" bestFit="1" customWidth="1"/>
    <col min="6" max="6" width="12" bestFit="1" customWidth="1"/>
    <col min="7" max="7" width="12.5" bestFit="1" customWidth="1"/>
    <col min="8" max="8" width="11.375" bestFit="1" customWidth="1"/>
    <col min="9" max="9" width="12.875" bestFit="1" customWidth="1"/>
    <col min="10" max="10" width="15" bestFit="1" customWidth="1"/>
    <col min="11" max="11" width="12.375" bestFit="1" customWidth="1"/>
    <col min="12" max="12" width="7.875" bestFit="1" customWidth="1"/>
  </cols>
  <sheetData>
    <row r="1" spans="1:12" x14ac:dyDescent="0.2">
      <c r="A1" s="4"/>
      <c r="B1" s="4"/>
      <c r="C1" s="4"/>
      <c r="D1" s="4"/>
      <c r="E1" s="4"/>
      <c r="F1" s="29" t="s">
        <v>156</v>
      </c>
      <c r="G1" s="4" t="s">
        <v>158</v>
      </c>
      <c r="H1" s="4" t="s">
        <v>159</v>
      </c>
      <c r="I1" s="4" t="s">
        <v>160</v>
      </c>
      <c r="J1" s="4" t="s">
        <v>163</v>
      </c>
      <c r="K1" s="4" t="s">
        <v>162</v>
      </c>
      <c r="L1" s="4" t="s">
        <v>161</v>
      </c>
    </row>
    <row r="2" spans="1:12" x14ac:dyDescent="0.2">
      <c r="A2" s="4"/>
      <c r="B2" s="4" t="s">
        <v>152</v>
      </c>
      <c r="C2" s="4" t="s">
        <v>153</v>
      </c>
      <c r="D2" s="4"/>
      <c r="E2" s="4" t="s">
        <v>155</v>
      </c>
      <c r="F2" s="4" t="s">
        <v>154</v>
      </c>
      <c r="G2" s="4" t="s">
        <v>154</v>
      </c>
      <c r="H2" s="4"/>
      <c r="I2" s="4"/>
      <c r="J2" s="51"/>
      <c r="K2" s="4"/>
      <c r="L2" s="4"/>
    </row>
    <row r="3" spans="1:12" x14ac:dyDescent="0.2">
      <c r="A3" s="4" t="s">
        <v>157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29" t="s">
        <v>149</v>
      </c>
      <c r="B4" s="4">
        <v>1.5</v>
      </c>
      <c r="C4" s="4">
        <v>1.2</v>
      </c>
      <c r="D4" s="4"/>
      <c r="E4" s="4">
        <v>6</v>
      </c>
      <c r="F4" s="4">
        <v>0.5</v>
      </c>
      <c r="G4" s="4">
        <v>0.2</v>
      </c>
      <c r="H4" s="4">
        <f>B4*C4*E4*F4</f>
        <v>5.3999999999999995</v>
      </c>
      <c r="I4" s="4">
        <f>B4*C4*E4*G4</f>
        <v>2.1599999999999997</v>
      </c>
      <c r="J4" s="4">
        <v>35</v>
      </c>
      <c r="K4" s="4">
        <f>I4*J4</f>
        <v>75.599999999999994</v>
      </c>
      <c r="L4" s="4">
        <f>(B4+C4)*2*G4*E4</f>
        <v>6.48</v>
      </c>
    </row>
    <row r="5" spans="1:12" x14ac:dyDescent="0.2">
      <c r="A5" s="29" t="s">
        <v>150</v>
      </c>
      <c r="B5" s="4">
        <v>1.7</v>
      </c>
      <c r="C5" s="4">
        <v>1.7</v>
      </c>
      <c r="D5" s="4"/>
      <c r="E5" s="4">
        <v>4</v>
      </c>
      <c r="F5" s="4">
        <v>0.5</v>
      </c>
      <c r="G5" s="4">
        <v>0.2</v>
      </c>
      <c r="H5" s="4">
        <f>B5*C5*E5*F5</f>
        <v>5.7799999999999994</v>
      </c>
      <c r="I5" s="4">
        <f>B5*C5*E5*G5</f>
        <v>2.3119999999999998</v>
      </c>
      <c r="J5" s="4">
        <v>35</v>
      </c>
      <c r="K5" s="4">
        <f>I5*J5</f>
        <v>80.919999999999987</v>
      </c>
      <c r="L5" s="4">
        <f>(B5+C5)*2*G5*E5</f>
        <v>5.44</v>
      </c>
    </row>
    <row r="6" spans="1:12" x14ac:dyDescent="0.2">
      <c r="A6" s="29" t="s">
        <v>151</v>
      </c>
      <c r="B6" s="4">
        <v>1</v>
      </c>
      <c r="C6" s="4">
        <v>1.2</v>
      </c>
      <c r="D6" s="4"/>
      <c r="E6" s="4">
        <v>4</v>
      </c>
      <c r="F6" s="4">
        <v>0.5</v>
      </c>
      <c r="G6" s="4">
        <v>0.2</v>
      </c>
      <c r="H6" s="4">
        <f>B6*C6*E6*F6</f>
        <v>2.4</v>
      </c>
      <c r="I6" s="4">
        <f>B6*C6*E6*G6</f>
        <v>0.96</v>
      </c>
      <c r="J6" s="4">
        <v>35</v>
      </c>
      <c r="K6" s="4">
        <f>I6*J6</f>
        <v>33.6</v>
      </c>
      <c r="L6" s="4">
        <f>(B6+C6)*2*G6*E6</f>
        <v>3.5200000000000005</v>
      </c>
    </row>
    <row r="7" spans="1:12" x14ac:dyDescent="0.2">
      <c r="A7" s="4"/>
      <c r="B7" s="4"/>
      <c r="C7" s="4"/>
      <c r="D7" s="4"/>
      <c r="E7" s="4"/>
      <c r="F7" s="4"/>
      <c r="G7" s="4"/>
      <c r="H7" s="49">
        <f>SUM(H4:H6)</f>
        <v>13.58</v>
      </c>
      <c r="I7" s="49">
        <f>SUM(I4:I6)</f>
        <v>5.4319999999999995</v>
      </c>
      <c r="J7" s="49"/>
      <c r="K7" s="49">
        <f>SUM(K4:K6)</f>
        <v>190.11999999999998</v>
      </c>
      <c r="L7" s="49">
        <f>SUM(L4:L6)</f>
        <v>15.440000000000001</v>
      </c>
    </row>
    <row r="9" spans="1:12" x14ac:dyDescent="0.2">
      <c r="A9" s="29" t="s">
        <v>198</v>
      </c>
      <c r="B9" s="106" t="s">
        <v>210</v>
      </c>
      <c r="C9" s="106"/>
      <c r="D9" s="4"/>
      <c r="E9" s="4" t="s">
        <v>211</v>
      </c>
      <c r="F9" s="4" t="s">
        <v>212</v>
      </c>
      <c r="G9" s="4"/>
      <c r="H9" s="4" t="s">
        <v>213</v>
      </c>
      <c r="I9" s="4"/>
      <c r="J9" s="4" t="s">
        <v>408</v>
      </c>
      <c r="K9" s="4" t="s">
        <v>162</v>
      </c>
      <c r="L9" s="4" t="s">
        <v>161</v>
      </c>
    </row>
    <row r="10" spans="1:12" x14ac:dyDescent="0.2">
      <c r="A10" s="29" t="s">
        <v>199</v>
      </c>
      <c r="B10" s="158">
        <f>4.165+4.135</f>
        <v>8.3000000000000007</v>
      </c>
      <c r="C10" s="159"/>
      <c r="D10" s="4"/>
      <c r="E10" s="21">
        <v>0.2</v>
      </c>
      <c r="F10" s="21">
        <v>0.3</v>
      </c>
      <c r="G10" s="155"/>
      <c r="H10" s="156">
        <f t="shared" ref="H10:H18" si="0">F10*E10*B10</f>
        <v>0.498</v>
      </c>
      <c r="I10" s="21"/>
      <c r="J10" s="157">
        <v>110</v>
      </c>
      <c r="K10" s="155">
        <f>J10*H10</f>
        <v>54.78</v>
      </c>
      <c r="L10" s="156">
        <f t="shared" ref="L10:L18" si="1">B10*F10*2</f>
        <v>4.9800000000000004</v>
      </c>
    </row>
    <row r="11" spans="1:12" x14ac:dyDescent="0.2">
      <c r="A11" s="29" t="s">
        <v>200</v>
      </c>
      <c r="B11" s="158">
        <v>3.8</v>
      </c>
      <c r="C11" s="159"/>
      <c r="D11" s="4"/>
      <c r="E11" s="21">
        <v>0.2</v>
      </c>
      <c r="F11" s="21">
        <v>0.3</v>
      </c>
      <c r="G11" s="155"/>
      <c r="H11" s="156">
        <f t="shared" si="0"/>
        <v>0.22799999999999998</v>
      </c>
      <c r="I11" s="21"/>
      <c r="J11" s="157">
        <v>120</v>
      </c>
      <c r="K11" s="155">
        <f t="shared" ref="K11:K18" si="2">J11*H11</f>
        <v>27.36</v>
      </c>
      <c r="L11" s="156">
        <f t="shared" si="1"/>
        <v>2.2799999999999998</v>
      </c>
    </row>
    <row r="12" spans="1:12" x14ac:dyDescent="0.2">
      <c r="A12" s="29" t="s">
        <v>201</v>
      </c>
      <c r="B12" s="158">
        <v>4.3899999999999997</v>
      </c>
      <c r="C12" s="159"/>
      <c r="D12" s="4"/>
      <c r="E12" s="21">
        <v>0.2</v>
      </c>
      <c r="F12" s="21">
        <v>0.3</v>
      </c>
      <c r="G12" s="155"/>
      <c r="H12" s="156">
        <f t="shared" si="0"/>
        <v>0.26339999999999997</v>
      </c>
      <c r="I12" s="21"/>
      <c r="J12" s="157">
        <v>115</v>
      </c>
      <c r="K12" s="155">
        <f t="shared" si="2"/>
        <v>30.290999999999997</v>
      </c>
      <c r="L12" s="156">
        <f t="shared" si="1"/>
        <v>2.6339999999999999</v>
      </c>
    </row>
    <row r="13" spans="1:12" x14ac:dyDescent="0.2">
      <c r="A13" s="29" t="s">
        <v>202</v>
      </c>
      <c r="B13" s="158">
        <v>4.96</v>
      </c>
      <c r="C13" s="159"/>
      <c r="D13" s="4"/>
      <c r="E13" s="21">
        <v>0.2</v>
      </c>
      <c r="F13" s="21">
        <v>0.3</v>
      </c>
      <c r="G13" s="155"/>
      <c r="H13" s="156">
        <f t="shared" si="0"/>
        <v>0.29759999999999998</v>
      </c>
      <c r="I13" s="21"/>
      <c r="J13" s="157">
        <v>110</v>
      </c>
      <c r="K13" s="155">
        <f t="shared" si="2"/>
        <v>32.735999999999997</v>
      </c>
      <c r="L13" s="156">
        <f t="shared" si="1"/>
        <v>2.976</v>
      </c>
    </row>
    <row r="14" spans="1:12" x14ac:dyDescent="0.2">
      <c r="A14" s="29" t="s">
        <v>203</v>
      </c>
      <c r="B14" s="158">
        <f>5.24+4.96</f>
        <v>10.199999999999999</v>
      </c>
      <c r="C14" s="159"/>
      <c r="D14" s="4"/>
      <c r="E14" s="21">
        <v>0.2</v>
      </c>
      <c r="F14" s="21">
        <v>0.3</v>
      </c>
      <c r="G14" s="155"/>
      <c r="H14" s="156">
        <f t="shared" si="0"/>
        <v>0.61199999999999999</v>
      </c>
      <c r="I14" s="21"/>
      <c r="J14" s="157">
        <v>110</v>
      </c>
      <c r="K14" s="155">
        <f t="shared" si="2"/>
        <v>67.319999999999993</v>
      </c>
      <c r="L14" s="156">
        <f t="shared" si="1"/>
        <v>6.1199999999999992</v>
      </c>
    </row>
    <row r="15" spans="1:12" x14ac:dyDescent="0.2">
      <c r="A15" s="29" t="s">
        <v>204</v>
      </c>
      <c r="B15" s="158">
        <f>B10</f>
        <v>8.3000000000000007</v>
      </c>
      <c r="C15" s="159"/>
      <c r="D15" s="4"/>
      <c r="E15" s="21">
        <v>0.2</v>
      </c>
      <c r="F15" s="21">
        <v>0.3</v>
      </c>
      <c r="G15" s="155"/>
      <c r="H15" s="156">
        <f t="shared" si="0"/>
        <v>0.498</v>
      </c>
      <c r="I15" s="21"/>
      <c r="J15" s="157">
        <v>110</v>
      </c>
      <c r="K15" s="155">
        <f t="shared" si="2"/>
        <v>54.78</v>
      </c>
      <c r="L15" s="156">
        <f t="shared" si="1"/>
        <v>4.9800000000000004</v>
      </c>
    </row>
    <row r="16" spans="1:12" x14ac:dyDescent="0.2">
      <c r="A16" s="29" t="s">
        <v>205</v>
      </c>
      <c r="B16" s="158">
        <f>B11</f>
        <v>3.8</v>
      </c>
      <c r="C16" s="159"/>
      <c r="D16" s="4"/>
      <c r="E16" s="21">
        <v>0.2</v>
      </c>
      <c r="F16" s="21">
        <v>0.3</v>
      </c>
      <c r="G16" s="155"/>
      <c r="H16" s="156">
        <f t="shared" si="0"/>
        <v>0.22799999999999998</v>
      </c>
      <c r="I16" s="21"/>
      <c r="J16" s="157">
        <v>120</v>
      </c>
      <c r="K16" s="155">
        <f t="shared" si="2"/>
        <v>27.36</v>
      </c>
      <c r="L16" s="156">
        <f t="shared" si="1"/>
        <v>2.2799999999999998</v>
      </c>
    </row>
    <row r="17" spans="1:12" x14ac:dyDescent="0.2">
      <c r="A17" s="29" t="s">
        <v>206</v>
      </c>
      <c r="B17" s="158">
        <f>B14</f>
        <v>10.199999999999999</v>
      </c>
      <c r="C17" s="159"/>
      <c r="D17" s="4"/>
      <c r="E17" s="21">
        <v>0.2</v>
      </c>
      <c r="F17" s="21">
        <v>0.3</v>
      </c>
      <c r="G17" s="155"/>
      <c r="H17" s="156">
        <f t="shared" si="0"/>
        <v>0.61199999999999999</v>
      </c>
      <c r="I17" s="21"/>
      <c r="J17" s="157">
        <v>110</v>
      </c>
      <c r="K17" s="155">
        <f t="shared" si="2"/>
        <v>67.319999999999993</v>
      </c>
      <c r="L17" s="156">
        <f t="shared" si="1"/>
        <v>6.1199999999999992</v>
      </c>
    </row>
    <row r="18" spans="1:12" x14ac:dyDescent="0.2">
      <c r="A18" s="29" t="s">
        <v>207</v>
      </c>
      <c r="B18" s="158">
        <f>B13</f>
        <v>4.96</v>
      </c>
      <c r="C18" s="159"/>
      <c r="D18" s="4"/>
      <c r="E18" s="21">
        <v>0.2</v>
      </c>
      <c r="F18" s="21">
        <v>0.3</v>
      </c>
      <c r="G18" s="155"/>
      <c r="H18" s="156">
        <f t="shared" si="0"/>
        <v>0.29759999999999998</v>
      </c>
      <c r="I18" s="21"/>
      <c r="J18" s="157">
        <v>110</v>
      </c>
      <c r="K18" s="155">
        <f t="shared" si="2"/>
        <v>32.735999999999997</v>
      </c>
      <c r="L18" s="156">
        <f t="shared" si="1"/>
        <v>2.976</v>
      </c>
    </row>
    <row r="19" spans="1:12" x14ac:dyDescent="0.2">
      <c r="A19" s="29" t="s">
        <v>208</v>
      </c>
      <c r="B19" s="160">
        <v>4.96</v>
      </c>
      <c r="C19" s="161"/>
      <c r="D19" s="4"/>
      <c r="E19" s="156">
        <v>0.2</v>
      </c>
      <c r="F19" s="156">
        <v>0.3</v>
      </c>
      <c r="G19" s="156"/>
      <c r="H19" s="156">
        <f>F19*E19*B19</f>
        <v>0.29759999999999998</v>
      </c>
      <c r="I19" s="4"/>
      <c r="J19" s="87">
        <v>110</v>
      </c>
      <c r="K19" s="156">
        <f>B19*H19</f>
        <v>1.4760959999999999</v>
      </c>
      <c r="L19" s="156">
        <f>B19*F19*2</f>
        <v>2.976</v>
      </c>
    </row>
    <row r="20" spans="1:12" x14ac:dyDescent="0.2">
      <c r="A20" s="29" t="s">
        <v>209</v>
      </c>
      <c r="B20" s="160">
        <v>5.24</v>
      </c>
      <c r="C20" s="161"/>
      <c r="D20" s="4"/>
      <c r="E20" s="156">
        <v>0.2</v>
      </c>
      <c r="F20" s="156">
        <v>0.3</v>
      </c>
      <c r="G20" s="156"/>
      <c r="H20" s="156">
        <f>F20*E20*B20</f>
        <v>0.31440000000000001</v>
      </c>
      <c r="I20" s="4"/>
      <c r="J20" s="87">
        <v>110</v>
      </c>
      <c r="K20" s="156">
        <f>B20*H20</f>
        <v>1.647456</v>
      </c>
      <c r="L20" s="156">
        <f>B20*F20*2</f>
        <v>3.1440000000000001</v>
      </c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">
      <c r="A22" s="4"/>
      <c r="B22" s="4"/>
      <c r="C22" s="4"/>
      <c r="D22" s="4"/>
      <c r="E22" s="4"/>
      <c r="F22" s="4"/>
      <c r="G22" s="4"/>
      <c r="H22" s="60">
        <f>SUM(H10:H21)</f>
        <v>4.1466000000000003</v>
      </c>
      <c r="I22" s="60"/>
      <c r="J22" s="60"/>
      <c r="K22" s="60">
        <f>SUM(K10:K21)</f>
        <v>397.80655199999995</v>
      </c>
      <c r="L22" s="60">
        <f>SUM(L10:L21)</f>
        <v>41.466000000000001</v>
      </c>
    </row>
    <row r="23" spans="1:12" x14ac:dyDescent="0.2">
      <c r="A23" s="4"/>
      <c r="B23" s="4">
        <v>20.399999999999999</v>
      </c>
      <c r="C23" s="4">
        <v>12.1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 t="s">
        <v>267</v>
      </c>
      <c r="B25" s="4">
        <f>SUM(B10:C20)</f>
        <v>69.11</v>
      </c>
      <c r="C25" s="4"/>
      <c r="D25" s="4"/>
      <c r="E25" s="4">
        <f>0.3</f>
        <v>0.3</v>
      </c>
      <c r="F25" s="4">
        <v>0.5</v>
      </c>
      <c r="G25" s="4"/>
      <c r="H25" s="60">
        <f>B25*E25*F25</f>
        <v>10.3665</v>
      </c>
      <c r="I25" s="4"/>
      <c r="J25" s="4"/>
      <c r="K25" s="4"/>
      <c r="L25" s="4"/>
    </row>
    <row r="29" spans="1:12" x14ac:dyDescent="0.2">
      <c r="A29" s="106" t="s">
        <v>457</v>
      </c>
      <c r="B29" s="106"/>
      <c r="C29" s="106"/>
      <c r="D29" s="106"/>
      <c r="E29" s="106"/>
      <c r="F29" s="106"/>
      <c r="G29" s="106"/>
      <c r="H29" s="106"/>
    </row>
    <row r="30" spans="1:12" x14ac:dyDescent="0.2">
      <c r="A30" s="4" t="s">
        <v>157</v>
      </c>
      <c r="B30" s="4"/>
      <c r="C30" s="4"/>
      <c r="D30" s="4"/>
      <c r="E30" s="4"/>
      <c r="F30" s="4"/>
      <c r="G30" s="4"/>
      <c r="H30" s="4"/>
    </row>
    <row r="31" spans="1:12" x14ac:dyDescent="0.2">
      <c r="A31" s="29" t="s">
        <v>149</v>
      </c>
      <c r="B31" s="4">
        <v>1.5</v>
      </c>
      <c r="C31" s="4">
        <v>1.2</v>
      </c>
      <c r="D31" s="4"/>
      <c r="E31" s="4">
        <v>6</v>
      </c>
      <c r="F31" s="4">
        <f>F4+G4+F10</f>
        <v>1</v>
      </c>
      <c r="G31" s="4"/>
      <c r="H31" s="4">
        <f>B31*C31*E31*F31</f>
        <v>10.799999999999999</v>
      </c>
    </row>
    <row r="32" spans="1:12" x14ac:dyDescent="0.2">
      <c r="A32" s="29" t="s">
        <v>150</v>
      </c>
      <c r="B32" s="4">
        <v>1.7</v>
      </c>
      <c r="C32" s="4">
        <v>1.7</v>
      </c>
      <c r="D32" s="4"/>
      <c r="E32" s="4">
        <v>4</v>
      </c>
      <c r="F32" s="4">
        <f t="shared" ref="F32:F33" si="3">F5+G5+F11</f>
        <v>1</v>
      </c>
      <c r="G32" s="4"/>
      <c r="H32" s="4">
        <f>B32*C32*E32*F32</f>
        <v>11.559999999999999</v>
      </c>
    </row>
    <row r="33" spans="1:8" x14ac:dyDescent="0.2">
      <c r="A33" s="29" t="s">
        <v>151</v>
      </c>
      <c r="B33" s="4">
        <v>1</v>
      </c>
      <c r="C33" s="4">
        <v>1.2</v>
      </c>
      <c r="D33" s="4"/>
      <c r="E33" s="4">
        <v>4</v>
      </c>
      <c r="F33" s="4">
        <f t="shared" si="3"/>
        <v>1</v>
      </c>
      <c r="G33" s="4"/>
      <c r="H33" s="4">
        <f>B33*C33*E33*F33</f>
        <v>4.8</v>
      </c>
    </row>
    <row r="34" spans="1:8" x14ac:dyDescent="0.2">
      <c r="A34" s="4"/>
      <c r="B34" s="4"/>
      <c r="C34" s="4"/>
      <c r="D34" s="4"/>
      <c r="E34" s="4"/>
      <c r="F34" s="4"/>
      <c r="G34" s="4"/>
      <c r="H34" s="60">
        <f>SUM(H31:H33)</f>
        <v>27.16</v>
      </c>
    </row>
  </sheetData>
  <mergeCells count="13">
    <mergeCell ref="B19:C19"/>
    <mergeCell ref="B20:C20"/>
    <mergeCell ref="A29:H2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288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topLeftCell="A22" zoomScale="85" zoomScaleNormal="100" zoomScaleSheetLayoutView="85" workbookViewId="0">
      <selection activeCell="K37" sqref="K37"/>
    </sheetView>
  </sheetViews>
  <sheetFormatPr baseColWidth="10" defaultRowHeight="14.25" x14ac:dyDescent="0.2"/>
  <cols>
    <col min="1" max="1" width="59.625" customWidth="1"/>
    <col min="2" max="2" width="3.375" bestFit="1" customWidth="1"/>
    <col min="3" max="3" width="8.5" style="2" bestFit="1" customWidth="1"/>
    <col min="4" max="4" width="8.875" style="2" bestFit="1" customWidth="1"/>
    <col min="5" max="5" width="12.5" style="2" bestFit="1" customWidth="1"/>
  </cols>
  <sheetData>
    <row r="1" spans="1:5" x14ac:dyDescent="0.2">
      <c r="A1" s="118" t="s">
        <v>7</v>
      </c>
      <c r="B1" s="119"/>
      <c r="C1" s="119"/>
      <c r="D1" s="119"/>
      <c r="E1" s="120"/>
    </row>
    <row r="2" spans="1:5" x14ac:dyDescent="0.2">
      <c r="A2" s="121"/>
      <c r="B2" s="122"/>
      <c r="C2" s="122"/>
      <c r="D2" s="122"/>
      <c r="E2" s="123"/>
    </row>
    <row r="3" spans="1:5" x14ac:dyDescent="0.2">
      <c r="A3" s="124" t="s">
        <v>4</v>
      </c>
      <c r="B3" s="125"/>
      <c r="C3" s="125"/>
      <c r="D3" s="125"/>
      <c r="E3" s="126"/>
    </row>
    <row r="4" spans="1:5" ht="20.25" customHeight="1" x14ac:dyDescent="0.2">
      <c r="A4" s="124"/>
      <c r="B4" s="125"/>
      <c r="C4" s="125"/>
      <c r="D4" s="125"/>
      <c r="E4" s="126"/>
    </row>
    <row r="5" spans="1:5" x14ac:dyDescent="0.2">
      <c r="A5" s="39"/>
      <c r="B5" s="40"/>
      <c r="C5" s="41"/>
      <c r="D5" s="41"/>
      <c r="E5" s="42"/>
    </row>
    <row r="6" spans="1:5" x14ac:dyDescent="0.2">
      <c r="A6" s="133" t="s">
        <v>40</v>
      </c>
      <c r="B6" s="134"/>
      <c r="C6" s="134"/>
      <c r="D6" s="134"/>
      <c r="E6" s="135"/>
    </row>
    <row r="7" spans="1:5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5" x14ac:dyDescent="0.2">
      <c r="A8" s="6" t="s">
        <v>96</v>
      </c>
      <c r="B8" s="4"/>
      <c r="C8" s="23"/>
      <c r="D8" s="23"/>
      <c r="E8" s="23"/>
    </row>
    <row r="9" spans="1:5" x14ac:dyDescent="0.2">
      <c r="A9" s="28" t="s">
        <v>97</v>
      </c>
      <c r="B9" s="4" t="s">
        <v>13</v>
      </c>
      <c r="C9" s="23"/>
      <c r="D9" s="23"/>
      <c r="E9" s="23"/>
    </row>
    <row r="10" spans="1:5" x14ac:dyDescent="0.2">
      <c r="A10" s="28" t="s">
        <v>98</v>
      </c>
      <c r="B10" s="4" t="s">
        <v>13</v>
      </c>
      <c r="C10" s="23"/>
      <c r="D10" s="23"/>
      <c r="E10" s="23"/>
    </row>
    <row r="11" spans="1:5" hidden="1" x14ac:dyDescent="0.2">
      <c r="A11" s="28" t="s">
        <v>99</v>
      </c>
      <c r="B11" s="4" t="s">
        <v>13</v>
      </c>
      <c r="C11" s="23"/>
      <c r="D11" s="23"/>
      <c r="E11" s="23"/>
    </row>
    <row r="12" spans="1:5" hidden="1" x14ac:dyDescent="0.2">
      <c r="A12" s="28" t="s">
        <v>100</v>
      </c>
      <c r="B12" s="4" t="s">
        <v>13</v>
      </c>
      <c r="C12" s="23"/>
      <c r="D12" s="23"/>
      <c r="E12" s="23"/>
    </row>
    <row r="13" spans="1:5" x14ac:dyDescent="0.2">
      <c r="A13" s="4"/>
      <c r="B13" s="4"/>
      <c r="C13" s="23"/>
      <c r="D13" s="23"/>
      <c r="E13" s="23"/>
    </row>
    <row r="14" spans="1:5" x14ac:dyDescent="0.2">
      <c r="A14" s="6" t="s">
        <v>101</v>
      </c>
      <c r="B14" s="4"/>
      <c r="C14" s="23"/>
      <c r="D14" s="23"/>
      <c r="E14" s="23"/>
    </row>
    <row r="15" spans="1:5" x14ac:dyDescent="0.2">
      <c r="A15" s="24" t="s">
        <v>102</v>
      </c>
      <c r="B15" s="4" t="s">
        <v>11</v>
      </c>
      <c r="C15" s="23">
        <v>1</v>
      </c>
      <c r="D15" s="23"/>
      <c r="E15" s="23">
        <f>D15*C15</f>
        <v>0</v>
      </c>
    </row>
    <row r="16" spans="1:5" x14ac:dyDescent="0.2">
      <c r="A16" s="24" t="s">
        <v>103</v>
      </c>
      <c r="B16" s="4"/>
      <c r="C16" s="23"/>
      <c r="D16" s="23"/>
      <c r="E16" s="23"/>
    </row>
    <row r="17" spans="1:7" x14ac:dyDescent="0.2">
      <c r="A17" s="25" t="s">
        <v>104</v>
      </c>
      <c r="B17" s="4"/>
      <c r="C17" s="23"/>
      <c r="D17" s="23"/>
      <c r="E17" s="23"/>
    </row>
    <row r="18" spans="1:7" x14ac:dyDescent="0.2">
      <c r="A18" s="30" t="s">
        <v>330</v>
      </c>
      <c r="B18" s="4" t="s">
        <v>10</v>
      </c>
      <c r="C18" s="23">
        <v>2</v>
      </c>
      <c r="D18" s="23"/>
      <c r="E18" s="23">
        <f>D18*C18</f>
        <v>0</v>
      </c>
      <c r="G18" s="2">
        <f>C18+C20+C22+C33+C26+C29+C31+C50+C50</f>
        <v>17</v>
      </c>
    </row>
    <row r="19" spans="1:7" ht="25.5" x14ac:dyDescent="0.2">
      <c r="A19" s="32" t="s">
        <v>329</v>
      </c>
      <c r="B19" s="4"/>
      <c r="C19" s="23"/>
      <c r="D19" s="23"/>
      <c r="E19" s="23"/>
    </row>
    <row r="20" spans="1:7" ht="28.5" x14ac:dyDescent="0.2">
      <c r="A20" s="26" t="s">
        <v>328</v>
      </c>
      <c r="B20" s="21" t="s">
        <v>10</v>
      </c>
      <c r="C20" s="27">
        <v>5</v>
      </c>
      <c r="D20" s="27"/>
      <c r="E20" s="27">
        <f>D20*C20</f>
        <v>0</v>
      </c>
    </row>
    <row r="21" spans="1:7" ht="25.5" x14ac:dyDescent="0.2">
      <c r="A21" s="32" t="s">
        <v>331</v>
      </c>
      <c r="B21" s="4"/>
      <c r="C21" s="23"/>
      <c r="D21" s="23"/>
      <c r="E21" s="23"/>
    </row>
    <row r="22" spans="1:7" ht="28.5" x14ac:dyDescent="0.2">
      <c r="A22" s="26" t="s">
        <v>332</v>
      </c>
      <c r="B22" s="21" t="s">
        <v>10</v>
      </c>
      <c r="C22" s="27">
        <v>1</v>
      </c>
      <c r="D22" s="27"/>
      <c r="E22" s="27">
        <f>D22*C22</f>
        <v>0</v>
      </c>
    </row>
    <row r="23" spans="1:7" x14ac:dyDescent="0.2">
      <c r="A23" s="32" t="s">
        <v>333</v>
      </c>
      <c r="B23" s="4"/>
      <c r="C23" s="23"/>
      <c r="D23" s="23"/>
      <c r="E23" s="23"/>
    </row>
    <row r="24" spans="1:7" x14ac:dyDescent="0.2">
      <c r="A24" s="32"/>
      <c r="B24" s="4"/>
      <c r="C24" s="23"/>
      <c r="D24" s="23"/>
      <c r="E24" s="23"/>
    </row>
    <row r="25" spans="1:7" x14ac:dyDescent="0.2">
      <c r="A25" s="25" t="s">
        <v>105</v>
      </c>
      <c r="B25" s="4"/>
      <c r="C25" s="23"/>
      <c r="D25" s="23"/>
      <c r="E25" s="23"/>
    </row>
    <row r="26" spans="1:7" x14ac:dyDescent="0.2">
      <c r="A26" s="30" t="s">
        <v>106</v>
      </c>
      <c r="B26" s="4" t="s">
        <v>10</v>
      </c>
      <c r="C26" s="23">
        <v>2</v>
      </c>
      <c r="D26" s="23"/>
      <c r="E26" s="23">
        <f>D26*C26</f>
        <v>0</v>
      </c>
    </row>
    <row r="27" spans="1:7" ht="25.5" x14ac:dyDescent="0.2">
      <c r="A27" s="32" t="s">
        <v>107</v>
      </c>
      <c r="B27" s="4"/>
      <c r="C27" s="23"/>
      <c r="D27" s="23"/>
      <c r="E27" s="23"/>
    </row>
    <row r="28" spans="1:7" x14ac:dyDescent="0.2">
      <c r="A28" s="25" t="s">
        <v>108</v>
      </c>
      <c r="B28" s="4"/>
      <c r="C28" s="23"/>
      <c r="D28" s="23"/>
      <c r="E28" s="23"/>
    </row>
    <row r="29" spans="1:7" x14ac:dyDescent="0.2">
      <c r="A29" s="30" t="s">
        <v>109</v>
      </c>
      <c r="B29" s="4" t="s">
        <v>10</v>
      </c>
      <c r="C29" s="23">
        <v>1</v>
      </c>
      <c r="D29" s="23"/>
      <c r="E29" s="23">
        <f>D29*C29</f>
        <v>0</v>
      </c>
    </row>
    <row r="30" spans="1:7" x14ac:dyDescent="0.2">
      <c r="A30" s="32" t="s">
        <v>110</v>
      </c>
      <c r="B30" s="4"/>
      <c r="C30" s="23"/>
      <c r="D30" s="23"/>
      <c r="E30" s="23"/>
    </row>
    <row r="31" spans="1:7" x14ac:dyDescent="0.2">
      <c r="A31" s="30" t="s">
        <v>111</v>
      </c>
      <c r="B31" s="4" t="s">
        <v>10</v>
      </c>
      <c r="C31" s="23">
        <v>1</v>
      </c>
      <c r="D31" s="23"/>
      <c r="E31" s="23">
        <f>D31*C31</f>
        <v>0</v>
      </c>
    </row>
    <row r="32" spans="1:7" x14ac:dyDescent="0.2">
      <c r="A32" s="32" t="s">
        <v>112</v>
      </c>
      <c r="B32" s="4"/>
      <c r="C32" s="23"/>
      <c r="D32" s="23"/>
      <c r="E32" s="23"/>
    </row>
    <row r="33" spans="1:5" x14ac:dyDescent="0.2">
      <c r="A33" s="26" t="s">
        <v>388</v>
      </c>
      <c r="B33" s="21" t="s">
        <v>10</v>
      </c>
      <c r="C33" s="27">
        <v>1</v>
      </c>
      <c r="D33" s="27"/>
      <c r="E33" s="27">
        <f>D33*C33</f>
        <v>0</v>
      </c>
    </row>
    <row r="34" spans="1:5" x14ac:dyDescent="0.2">
      <c r="A34" s="32" t="s">
        <v>387</v>
      </c>
      <c r="B34" s="4"/>
      <c r="C34" s="23"/>
      <c r="D34" s="23"/>
      <c r="E34" s="23"/>
    </row>
    <row r="35" spans="1:5" x14ac:dyDescent="0.2">
      <c r="A35" s="32"/>
      <c r="B35" s="4"/>
      <c r="C35" s="23"/>
      <c r="D35" s="23"/>
      <c r="E35" s="23"/>
    </row>
    <row r="36" spans="1:5" x14ac:dyDescent="0.2">
      <c r="A36" s="5" t="s">
        <v>116</v>
      </c>
      <c r="B36" s="4"/>
      <c r="C36" s="23"/>
      <c r="D36" s="23"/>
      <c r="E36" s="23"/>
    </row>
    <row r="37" spans="1:5" x14ac:dyDescent="0.2">
      <c r="A37" s="28" t="s">
        <v>117</v>
      </c>
      <c r="B37" s="4"/>
      <c r="C37" s="23"/>
      <c r="D37" s="23"/>
      <c r="E37" s="23"/>
    </row>
    <row r="38" spans="1:5" x14ac:dyDescent="0.2">
      <c r="A38" s="29" t="s">
        <v>118</v>
      </c>
      <c r="B38" s="4" t="s">
        <v>12</v>
      </c>
      <c r="C38" s="23">
        <v>0.9</v>
      </c>
      <c r="D38" s="23"/>
      <c r="E38" s="23">
        <f>D38*C38</f>
        <v>0</v>
      </c>
    </row>
    <row r="39" spans="1:5" x14ac:dyDescent="0.2">
      <c r="A39" s="31" t="s">
        <v>113</v>
      </c>
      <c r="B39" s="4"/>
      <c r="C39" s="23"/>
      <c r="D39" s="23"/>
      <c r="E39" s="23"/>
    </row>
    <row r="40" spans="1:5" x14ac:dyDescent="0.2">
      <c r="A40" s="29" t="s">
        <v>123</v>
      </c>
      <c r="B40" s="4" t="s">
        <v>10</v>
      </c>
      <c r="C40" s="23">
        <v>2</v>
      </c>
      <c r="D40" s="23"/>
      <c r="E40" s="23">
        <f>D40*C40</f>
        <v>0</v>
      </c>
    </row>
    <row r="41" spans="1:5" x14ac:dyDescent="0.2">
      <c r="A41" s="29"/>
      <c r="B41" s="4"/>
      <c r="C41" s="23"/>
      <c r="D41" s="23"/>
      <c r="E41" s="23"/>
    </row>
    <row r="42" spans="1:5" x14ac:dyDescent="0.2">
      <c r="A42" s="28" t="s">
        <v>119</v>
      </c>
      <c r="B42" s="4" t="s">
        <v>10</v>
      </c>
      <c r="C42" s="23">
        <v>2</v>
      </c>
      <c r="D42" s="23"/>
      <c r="E42" s="23">
        <f>D42*C42</f>
        <v>0</v>
      </c>
    </row>
    <row r="43" spans="1:5" x14ac:dyDescent="0.2">
      <c r="A43" s="29"/>
      <c r="B43" s="4"/>
      <c r="C43" s="23"/>
      <c r="D43" s="23"/>
      <c r="E43" s="23"/>
    </row>
    <row r="44" spans="1:5" x14ac:dyDescent="0.2">
      <c r="A44" s="5" t="s">
        <v>120</v>
      </c>
      <c r="B44" s="4"/>
      <c r="C44" s="23"/>
      <c r="D44" s="23"/>
      <c r="E44" s="23"/>
    </row>
    <row r="45" spans="1:5" x14ac:dyDescent="0.2">
      <c r="A45" s="28" t="s">
        <v>121</v>
      </c>
      <c r="B45" s="4" t="s">
        <v>10</v>
      </c>
      <c r="C45" s="23">
        <f>C18+C20+C29+C31</f>
        <v>9</v>
      </c>
      <c r="D45" s="23"/>
      <c r="E45" s="23">
        <f>D45*C45</f>
        <v>0</v>
      </c>
    </row>
    <row r="46" spans="1:5" x14ac:dyDescent="0.2">
      <c r="A46" s="28" t="s">
        <v>122</v>
      </c>
      <c r="B46" s="4" t="s">
        <v>10</v>
      </c>
      <c r="C46" s="23">
        <f>C26</f>
        <v>2</v>
      </c>
      <c r="D46" s="23"/>
      <c r="E46" s="23">
        <f>D46*C46</f>
        <v>0</v>
      </c>
    </row>
    <row r="47" spans="1:5" x14ac:dyDescent="0.2">
      <c r="A47" s="4"/>
      <c r="B47" s="4"/>
      <c r="C47" s="23"/>
      <c r="D47" s="23"/>
      <c r="E47" s="23"/>
    </row>
    <row r="48" spans="1:5" x14ac:dyDescent="0.2">
      <c r="A48" s="60" t="s">
        <v>292</v>
      </c>
      <c r="B48" s="4"/>
      <c r="C48" s="23"/>
      <c r="D48" s="23"/>
      <c r="E48" s="23"/>
    </row>
    <row r="49" spans="1:8" x14ac:dyDescent="0.2">
      <c r="A49" s="63" t="s">
        <v>293</v>
      </c>
      <c r="B49" s="4"/>
      <c r="C49" s="23"/>
      <c r="D49" s="23"/>
      <c r="E49" s="23"/>
    </row>
    <row r="50" spans="1:8" x14ac:dyDescent="0.2">
      <c r="A50" s="65" t="s">
        <v>294</v>
      </c>
      <c r="B50" s="4" t="s">
        <v>10</v>
      </c>
      <c r="C50" s="23">
        <v>2</v>
      </c>
      <c r="D50" s="23"/>
      <c r="E50" s="23">
        <f>C50*D50</f>
        <v>0</v>
      </c>
      <c r="F50">
        <f>1.5*2.05*80</f>
        <v>245.99999999999997</v>
      </c>
    </row>
    <row r="51" spans="1:8" x14ac:dyDescent="0.2">
      <c r="A51" s="66" t="s">
        <v>295</v>
      </c>
      <c r="B51" s="4" t="s">
        <v>9</v>
      </c>
      <c r="C51" s="23">
        <f>0.6*8</f>
        <v>4.8</v>
      </c>
      <c r="D51" s="23"/>
      <c r="E51" s="23">
        <f>C51*D51</f>
        <v>0</v>
      </c>
    </row>
    <row r="52" spans="1:8" x14ac:dyDescent="0.2">
      <c r="A52" s="54"/>
      <c r="B52" s="4"/>
      <c r="C52" s="23"/>
      <c r="D52" s="23"/>
      <c r="E52" s="23"/>
    </row>
    <row r="53" spans="1:8" x14ac:dyDescent="0.2">
      <c r="A53" s="92" t="s">
        <v>379</v>
      </c>
      <c r="B53" s="4"/>
      <c r="C53" s="23"/>
      <c r="D53" s="23"/>
      <c r="E53" s="23"/>
    </row>
    <row r="54" spans="1:8" x14ac:dyDescent="0.2">
      <c r="A54" s="63" t="s">
        <v>380</v>
      </c>
      <c r="B54" s="4" t="s">
        <v>12</v>
      </c>
      <c r="C54" s="23">
        <v>4.4000000000000004</v>
      </c>
      <c r="D54" s="23"/>
      <c r="E54" s="23">
        <f>C54*D54</f>
        <v>0</v>
      </c>
    </row>
    <row r="55" spans="1:8" x14ac:dyDescent="0.2">
      <c r="A55" s="93" t="s">
        <v>381</v>
      </c>
      <c r="B55" s="4"/>
      <c r="C55" s="23"/>
      <c r="D55" s="23"/>
      <c r="E55" s="23"/>
    </row>
    <row r="56" spans="1:8" x14ac:dyDescent="0.2">
      <c r="A56" s="93"/>
      <c r="B56" s="4"/>
      <c r="C56" s="23"/>
      <c r="D56" s="23"/>
      <c r="E56" s="23"/>
    </row>
    <row r="57" spans="1:8" x14ac:dyDescent="0.2">
      <c r="A57" s="141" t="s">
        <v>412</v>
      </c>
      <c r="B57" s="4" t="s">
        <v>12</v>
      </c>
      <c r="C57" s="23">
        <v>110</v>
      </c>
      <c r="D57" s="23"/>
      <c r="E57" s="23">
        <f>D57*C57</f>
        <v>0</v>
      </c>
      <c r="F57">
        <f>44.3+36.34+14.04+13.32+13.32</f>
        <v>121.32</v>
      </c>
      <c r="G57">
        <f>-1.8-6-12.1</f>
        <v>-19.899999999999999</v>
      </c>
      <c r="H57">
        <f>F57+G57</f>
        <v>101.41999999999999</v>
      </c>
    </row>
    <row r="58" spans="1:8" ht="25.5" x14ac:dyDescent="0.2">
      <c r="A58" s="140" t="s">
        <v>413</v>
      </c>
      <c r="B58" s="4"/>
      <c r="C58" s="23"/>
      <c r="D58" s="23"/>
      <c r="E58" s="23"/>
    </row>
    <row r="59" spans="1:8" x14ac:dyDescent="0.2">
      <c r="A59" s="91"/>
    </row>
    <row r="60" spans="1:8" s="3" customFormat="1" ht="30" customHeight="1" x14ac:dyDescent="0.2">
      <c r="A60" s="55" t="s">
        <v>114</v>
      </c>
      <c r="B60" s="21"/>
      <c r="C60" s="27"/>
      <c r="D60" s="27"/>
      <c r="E60" s="53">
        <f>SUM(E8:E55)</f>
        <v>0</v>
      </c>
    </row>
    <row r="61" spans="1:8" s="3" customFormat="1" ht="30" customHeight="1" x14ac:dyDescent="0.2">
      <c r="A61" s="55" t="s">
        <v>23</v>
      </c>
      <c r="B61" s="55"/>
      <c r="C61" s="53"/>
      <c r="D61" s="53"/>
      <c r="E61" s="53">
        <f>E60*20%</f>
        <v>0</v>
      </c>
    </row>
    <row r="62" spans="1:8" s="3" customFormat="1" ht="30" customHeight="1" x14ac:dyDescent="0.2">
      <c r="A62" s="55" t="s">
        <v>115</v>
      </c>
      <c r="B62" s="55"/>
      <c r="C62" s="53"/>
      <c r="D62" s="53"/>
      <c r="E62" s="53">
        <f>E60+E61</f>
        <v>0</v>
      </c>
    </row>
    <row r="64" spans="1:8" x14ac:dyDescent="0.2">
      <c r="A64" s="6" t="s">
        <v>384</v>
      </c>
      <c r="B64" s="4"/>
      <c r="C64" s="23"/>
      <c r="D64" s="23"/>
      <c r="E64" s="23"/>
    </row>
    <row r="65" spans="1:5" x14ac:dyDescent="0.2">
      <c r="A65" s="4" t="s">
        <v>385</v>
      </c>
      <c r="B65" s="4" t="s">
        <v>12</v>
      </c>
      <c r="C65" s="23">
        <v>7.7</v>
      </c>
      <c r="D65" s="23"/>
      <c r="E65" s="23">
        <f>C65*D65</f>
        <v>0</v>
      </c>
    </row>
    <row r="66" spans="1:5" s="3" customFormat="1" ht="30" customHeight="1" x14ac:dyDescent="0.2">
      <c r="A66" s="55" t="s">
        <v>318</v>
      </c>
      <c r="B66" s="21"/>
      <c r="C66" s="27"/>
      <c r="D66" s="27"/>
      <c r="E66" s="53">
        <f>E65</f>
        <v>0</v>
      </c>
    </row>
    <row r="67" spans="1:5" s="3" customFormat="1" ht="30" customHeight="1" x14ac:dyDescent="0.2">
      <c r="A67" s="55" t="s">
        <v>23</v>
      </c>
      <c r="B67" s="55"/>
      <c r="C67" s="53"/>
      <c r="D67" s="53"/>
      <c r="E67" s="53">
        <f>E66*20%</f>
        <v>0</v>
      </c>
    </row>
    <row r="68" spans="1:5" s="3" customFormat="1" ht="30" customHeight="1" x14ac:dyDescent="0.2">
      <c r="A68" s="55" t="s">
        <v>319</v>
      </c>
      <c r="B68" s="55"/>
      <c r="C68" s="53"/>
      <c r="D68" s="53"/>
      <c r="E68" s="53">
        <f>E66+E67</f>
        <v>0</v>
      </c>
    </row>
    <row r="69" spans="1:5" x14ac:dyDescent="0.2">
      <c r="A69" s="36"/>
      <c r="B69" s="36"/>
      <c r="C69" s="37"/>
      <c r="D69" s="37"/>
      <c r="E69" s="37"/>
    </row>
    <row r="70" spans="1:5" x14ac:dyDescent="0.2">
      <c r="A70" s="4" t="s">
        <v>386</v>
      </c>
      <c r="B70" s="4" t="s">
        <v>12</v>
      </c>
      <c r="C70" s="23">
        <v>7.7</v>
      </c>
      <c r="D70" s="23"/>
      <c r="E70" s="23">
        <f>C70*D70</f>
        <v>0</v>
      </c>
    </row>
    <row r="71" spans="1:5" s="3" customFormat="1" ht="30" customHeight="1" x14ac:dyDescent="0.2">
      <c r="A71" s="55" t="s">
        <v>320</v>
      </c>
      <c r="B71" s="21"/>
      <c r="C71" s="27"/>
      <c r="D71" s="27"/>
      <c r="E71" s="53">
        <f>E70</f>
        <v>0</v>
      </c>
    </row>
    <row r="72" spans="1:5" s="3" customFormat="1" ht="30" customHeight="1" x14ac:dyDescent="0.2">
      <c r="A72" s="55" t="s">
        <v>23</v>
      </c>
      <c r="B72" s="55"/>
      <c r="C72" s="53"/>
      <c r="D72" s="53"/>
      <c r="E72" s="53">
        <f>E71*20%</f>
        <v>0</v>
      </c>
    </row>
    <row r="73" spans="1:5" s="3" customFormat="1" ht="30" customHeight="1" x14ac:dyDescent="0.2">
      <c r="A73" s="55" t="s">
        <v>321</v>
      </c>
      <c r="B73" s="55"/>
      <c r="C73" s="53"/>
      <c r="D73" s="53"/>
      <c r="E73" s="53">
        <f>E71+E72</f>
        <v>0</v>
      </c>
    </row>
    <row r="74" spans="1:5" x14ac:dyDescent="0.2">
      <c r="A74" s="36"/>
      <c r="B74" s="36"/>
      <c r="C74" s="37"/>
      <c r="D74" s="37"/>
      <c r="E74" s="37"/>
    </row>
    <row r="75" spans="1:5" x14ac:dyDescent="0.2">
      <c r="A75" s="19" t="s">
        <v>383</v>
      </c>
      <c r="B75" s="4"/>
      <c r="C75" s="23"/>
      <c r="D75" s="23"/>
      <c r="E75" s="23"/>
    </row>
    <row r="76" spans="1:5" x14ac:dyDescent="0.2">
      <c r="A76" s="4" t="s">
        <v>382</v>
      </c>
      <c r="B76" s="4" t="s">
        <v>12</v>
      </c>
      <c r="C76" s="23">
        <v>5.4</v>
      </c>
      <c r="D76" s="23"/>
      <c r="E76" s="23">
        <f>C76*D76</f>
        <v>0</v>
      </c>
    </row>
    <row r="77" spans="1:5" s="3" customFormat="1" ht="30" customHeight="1" x14ac:dyDescent="0.2">
      <c r="A77" s="55" t="s">
        <v>322</v>
      </c>
      <c r="B77" s="21"/>
      <c r="C77" s="27"/>
      <c r="D77" s="27"/>
      <c r="E77" s="53">
        <f>E76</f>
        <v>0</v>
      </c>
    </row>
    <row r="78" spans="1:5" s="3" customFormat="1" ht="30" customHeight="1" x14ac:dyDescent="0.2">
      <c r="A78" s="55" t="s">
        <v>23</v>
      </c>
      <c r="B78" s="55"/>
      <c r="C78" s="53"/>
      <c r="D78" s="53"/>
      <c r="E78" s="53">
        <f>E77*20%</f>
        <v>0</v>
      </c>
    </row>
    <row r="79" spans="1:5" s="3" customFormat="1" ht="30" customHeight="1" x14ac:dyDescent="0.2">
      <c r="A79" s="55" t="s">
        <v>323</v>
      </c>
      <c r="B79" s="55"/>
      <c r="C79" s="53"/>
      <c r="D79" s="53"/>
      <c r="E79" s="53">
        <f>E77+E78</f>
        <v>0</v>
      </c>
    </row>
    <row r="80" spans="1:5" x14ac:dyDescent="0.2">
      <c r="A80" s="4"/>
      <c r="B80" s="4"/>
      <c r="C80" s="23"/>
      <c r="D80" s="23"/>
      <c r="E80" s="23"/>
    </row>
    <row r="81" spans="1:5" x14ac:dyDescent="0.2">
      <c r="A81" s="147" t="s">
        <v>436</v>
      </c>
      <c r="B81" s="4" t="s">
        <v>10</v>
      </c>
      <c r="C81" s="23">
        <v>5</v>
      </c>
      <c r="D81" s="23"/>
      <c r="E81" s="23">
        <f>C81*D81</f>
        <v>0</v>
      </c>
    </row>
    <row r="82" spans="1:5" s="3" customFormat="1" ht="30" customHeight="1" x14ac:dyDescent="0.2">
      <c r="A82" s="55" t="s">
        <v>437</v>
      </c>
      <c r="B82" s="21"/>
      <c r="C82" s="27"/>
      <c r="D82" s="27"/>
      <c r="E82" s="53">
        <f>E81</f>
        <v>0</v>
      </c>
    </row>
    <row r="83" spans="1:5" s="3" customFormat="1" ht="30" customHeight="1" x14ac:dyDescent="0.2">
      <c r="A83" s="55" t="s">
        <v>23</v>
      </c>
      <c r="B83" s="55"/>
      <c r="C83" s="53"/>
      <c r="D83" s="53"/>
      <c r="E83" s="53">
        <f>E82*20%</f>
        <v>0</v>
      </c>
    </row>
    <row r="84" spans="1:5" s="3" customFormat="1" ht="30" customHeight="1" x14ac:dyDescent="0.2">
      <c r="A84" s="55" t="s">
        <v>438</v>
      </c>
      <c r="B84" s="55"/>
      <c r="C84" s="53"/>
      <c r="D84" s="53"/>
      <c r="E84" s="53">
        <f>E82+E83</f>
        <v>0</v>
      </c>
    </row>
    <row r="85" spans="1:5" ht="112.5" customHeight="1" x14ac:dyDescent="0.2">
      <c r="A85" s="165" t="s">
        <v>458</v>
      </c>
      <c r="B85" s="166"/>
      <c r="C85" s="166"/>
      <c r="D85" s="166"/>
      <c r="E85" s="167"/>
    </row>
  </sheetData>
  <mergeCells count="4">
    <mergeCell ref="A1:E2"/>
    <mergeCell ref="A3:E4"/>
    <mergeCell ref="A6:E6"/>
    <mergeCell ref="A85:E85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289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view="pageBreakPreview" topLeftCell="A66" zoomScaleNormal="100" zoomScaleSheetLayoutView="100" workbookViewId="0">
      <selection activeCell="G78" sqref="G78"/>
    </sheetView>
  </sheetViews>
  <sheetFormatPr baseColWidth="10" defaultRowHeight="14.25" x14ac:dyDescent="0.2"/>
  <cols>
    <col min="1" max="1" width="59.625" customWidth="1"/>
    <col min="2" max="2" width="3.125" bestFit="1" customWidth="1"/>
    <col min="3" max="3" width="8.5" style="2" bestFit="1" customWidth="1"/>
    <col min="4" max="4" width="8.875" style="2" bestFit="1" customWidth="1"/>
    <col min="5" max="5" width="12.5" style="2" bestFit="1" customWidth="1"/>
    <col min="11" max="11" width="10.5" customWidth="1"/>
  </cols>
  <sheetData>
    <row r="1" spans="1:11" x14ac:dyDescent="0.2">
      <c r="A1" s="118" t="s">
        <v>7</v>
      </c>
      <c r="B1" s="119"/>
      <c r="C1" s="119"/>
      <c r="D1" s="119"/>
      <c r="E1" s="120"/>
    </row>
    <row r="2" spans="1:11" x14ac:dyDescent="0.2">
      <c r="A2" s="121"/>
      <c r="B2" s="122"/>
      <c r="C2" s="122"/>
      <c r="D2" s="122"/>
      <c r="E2" s="123"/>
    </row>
    <row r="3" spans="1:11" x14ac:dyDescent="0.2">
      <c r="A3" s="124" t="s">
        <v>4</v>
      </c>
      <c r="B3" s="125"/>
      <c r="C3" s="125"/>
      <c r="D3" s="125"/>
      <c r="E3" s="126"/>
    </row>
    <row r="4" spans="1:11" ht="20.25" customHeight="1" x14ac:dyDescent="0.2">
      <c r="A4" s="124"/>
      <c r="B4" s="125"/>
      <c r="C4" s="125"/>
      <c r="D4" s="125"/>
      <c r="E4" s="126"/>
    </row>
    <row r="5" spans="1:11" x14ac:dyDescent="0.2">
      <c r="A5" s="39"/>
      <c r="B5" s="40"/>
      <c r="C5" s="41"/>
      <c r="D5" s="41"/>
      <c r="E5" s="42"/>
    </row>
    <row r="6" spans="1:11" x14ac:dyDescent="0.2">
      <c r="A6" s="127" t="s">
        <v>39</v>
      </c>
      <c r="B6" s="128"/>
      <c r="C6" s="128"/>
      <c r="D6" s="128"/>
      <c r="E6" s="129"/>
    </row>
    <row r="7" spans="1:11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  <c r="K7" s="139" t="s">
        <v>396</v>
      </c>
    </row>
    <row r="8" spans="1:11" x14ac:dyDescent="0.2">
      <c r="A8" s="6" t="s">
        <v>131</v>
      </c>
      <c r="B8" s="4"/>
      <c r="C8" s="23"/>
      <c r="D8" s="23"/>
      <c r="E8" s="23"/>
      <c r="K8" s="139"/>
    </row>
    <row r="9" spans="1:11" x14ac:dyDescent="0.2">
      <c r="A9" s="28" t="s">
        <v>430</v>
      </c>
      <c r="B9" s="4" t="s">
        <v>11</v>
      </c>
      <c r="C9" s="23">
        <v>1</v>
      </c>
      <c r="D9" s="23"/>
      <c r="E9" s="77">
        <f>D9*C9</f>
        <v>0</v>
      </c>
      <c r="K9" s="139"/>
    </row>
    <row r="10" spans="1:11" x14ac:dyDescent="0.2">
      <c r="A10" s="28" t="s">
        <v>130</v>
      </c>
      <c r="B10" s="4" t="s">
        <v>13</v>
      </c>
      <c r="C10" s="23"/>
      <c r="D10" s="23"/>
      <c r="E10" s="23"/>
      <c r="K10" s="139"/>
    </row>
    <row r="11" spans="1:11" x14ac:dyDescent="0.2">
      <c r="A11" s="28" t="s">
        <v>428</v>
      </c>
      <c r="B11" s="4" t="s">
        <v>13</v>
      </c>
      <c r="C11" s="23"/>
      <c r="D11" s="23"/>
      <c r="E11" s="23"/>
      <c r="K11" s="139"/>
    </row>
    <row r="12" spans="1:11" x14ac:dyDescent="0.2">
      <c r="A12" s="28" t="s">
        <v>429</v>
      </c>
      <c r="B12" s="4" t="s">
        <v>13</v>
      </c>
      <c r="C12" s="23"/>
      <c r="D12" s="23"/>
      <c r="E12" s="23"/>
      <c r="K12" s="139"/>
    </row>
    <row r="13" spans="1:11" x14ac:dyDescent="0.2">
      <c r="A13" s="4"/>
      <c r="B13" s="4"/>
      <c r="C13" s="23"/>
      <c r="D13" s="23"/>
      <c r="E13" s="23"/>
      <c r="K13" s="139"/>
    </row>
    <row r="14" spans="1:11" x14ac:dyDescent="0.2">
      <c r="A14" s="4"/>
      <c r="B14" s="4"/>
      <c r="C14" s="23"/>
      <c r="D14" s="23"/>
      <c r="E14" s="23"/>
      <c r="K14" s="139"/>
    </row>
    <row r="15" spans="1:11" x14ac:dyDescent="0.2">
      <c r="A15" s="6" t="s">
        <v>132</v>
      </c>
      <c r="B15" s="4"/>
      <c r="C15" s="23"/>
      <c r="D15" s="23"/>
      <c r="E15" s="23"/>
      <c r="J15">
        <f>0.04/0.032</f>
        <v>1.25</v>
      </c>
    </row>
    <row r="16" spans="1:11" x14ac:dyDescent="0.2">
      <c r="A16" s="63" t="s">
        <v>166</v>
      </c>
      <c r="B16" s="54" t="s">
        <v>9</v>
      </c>
      <c r="C16" s="76">
        <v>18</v>
      </c>
      <c r="D16" s="76"/>
      <c r="E16" s="77">
        <f>D16*C16</f>
        <v>0</v>
      </c>
      <c r="G16">
        <f>(1.75+3.95)*3.48</f>
        <v>19.836000000000002</v>
      </c>
      <c r="K16" s="2">
        <f>C16</f>
        <v>18</v>
      </c>
    </row>
    <row r="17" spans="1:11" x14ac:dyDescent="0.2">
      <c r="A17" s="79" t="s">
        <v>136</v>
      </c>
      <c r="B17" s="54"/>
      <c r="C17" s="76"/>
      <c r="D17" s="76"/>
      <c r="E17" s="76"/>
      <c r="K17" s="2">
        <f t="shared" ref="K17:K18" si="0">C17</f>
        <v>0</v>
      </c>
    </row>
    <row r="18" spans="1:11" x14ac:dyDescent="0.2">
      <c r="A18" s="64" t="s">
        <v>296</v>
      </c>
      <c r="B18" s="54" t="s">
        <v>9</v>
      </c>
      <c r="C18" s="76">
        <v>65</v>
      </c>
      <c r="D18" s="76"/>
      <c r="E18" s="77">
        <f>D18*C18</f>
        <v>0</v>
      </c>
      <c r="F18">
        <f>(6.25+7.73)*2.5</f>
        <v>34.950000000000003</v>
      </c>
      <c r="G18">
        <v>29.65</v>
      </c>
      <c r="I18">
        <f>SUM(F18:H18)</f>
        <v>64.599999999999994</v>
      </c>
      <c r="K18" s="2">
        <f t="shared" si="0"/>
        <v>65</v>
      </c>
    </row>
    <row r="19" spans="1:11" x14ac:dyDescent="0.2">
      <c r="A19" s="80" t="s">
        <v>167</v>
      </c>
      <c r="B19" s="54"/>
      <c r="C19" s="76"/>
      <c r="D19" s="76"/>
      <c r="E19" s="76"/>
    </row>
    <row r="20" spans="1:11" x14ac:dyDescent="0.2">
      <c r="A20" s="63" t="s">
        <v>170</v>
      </c>
      <c r="B20" s="54"/>
      <c r="C20" s="76"/>
      <c r="D20" s="76"/>
      <c r="E20" s="76"/>
    </row>
    <row r="21" spans="1:11" x14ac:dyDescent="0.2">
      <c r="A21" s="80" t="s">
        <v>297</v>
      </c>
      <c r="B21" s="54" t="s">
        <v>9</v>
      </c>
      <c r="C21" s="76">
        <f>C18+C26</f>
        <v>151</v>
      </c>
      <c r="D21" s="78"/>
      <c r="E21" s="77">
        <f>D21*C21</f>
        <v>0</v>
      </c>
    </row>
    <row r="22" spans="1:11" x14ac:dyDescent="0.2">
      <c r="A22" s="4"/>
      <c r="B22" s="4"/>
      <c r="C22" s="23"/>
      <c r="D22" s="23"/>
      <c r="E22" s="23"/>
    </row>
    <row r="23" spans="1:11" x14ac:dyDescent="0.2">
      <c r="A23" s="44" t="s">
        <v>133</v>
      </c>
      <c r="B23" s="4"/>
      <c r="C23" s="23"/>
      <c r="D23" s="23"/>
      <c r="E23" s="23"/>
    </row>
    <row r="24" spans="1:11" x14ac:dyDescent="0.2">
      <c r="A24" s="28" t="s">
        <v>134</v>
      </c>
      <c r="B24" s="4" t="s">
        <v>9</v>
      </c>
      <c r="C24" s="13">
        <v>142</v>
      </c>
      <c r="D24" s="13"/>
      <c r="E24" s="14">
        <f>D24*C24</f>
        <v>0</v>
      </c>
      <c r="F24">
        <f>7.64+26.11+2.38+10.14+9.92+5.78+17.42+15.58+12.48+18.75+5.31+9.62</f>
        <v>141.13000000000002</v>
      </c>
      <c r="K24" s="2">
        <f>C24*2</f>
        <v>284</v>
      </c>
    </row>
    <row r="25" spans="1:11" ht="25.5" x14ac:dyDescent="0.2">
      <c r="A25" s="68" t="s">
        <v>135</v>
      </c>
      <c r="B25" s="4"/>
      <c r="C25" s="23"/>
      <c r="D25" s="23"/>
      <c r="E25" s="23"/>
      <c r="K25" s="2">
        <f t="shared" ref="K25:K26" si="1">C25*2</f>
        <v>0</v>
      </c>
    </row>
    <row r="26" spans="1:11" x14ac:dyDescent="0.2">
      <c r="A26" s="28" t="s">
        <v>395</v>
      </c>
      <c r="B26" s="4" t="s">
        <v>9</v>
      </c>
      <c r="C26" s="23">
        <v>86</v>
      </c>
      <c r="D26" s="23"/>
      <c r="E26" s="14">
        <f>D26*C26</f>
        <v>0</v>
      </c>
      <c r="F26" s="94">
        <f>35.78+27.83+15.78+6.48</f>
        <v>85.87</v>
      </c>
      <c r="K26" s="2">
        <f t="shared" si="1"/>
        <v>172</v>
      </c>
    </row>
    <row r="27" spans="1:11" ht="38.25" x14ac:dyDescent="0.2">
      <c r="A27" s="68" t="s">
        <v>400</v>
      </c>
      <c r="B27" s="4"/>
      <c r="C27" s="23"/>
      <c r="D27" s="23"/>
      <c r="E27" s="23"/>
      <c r="H27" s="2">
        <f>(C16+C18+C24+C24+C26+C26)</f>
        <v>539</v>
      </c>
    </row>
    <row r="28" spans="1:11" x14ac:dyDescent="0.2">
      <c r="A28" s="68"/>
      <c r="B28" s="4"/>
      <c r="C28" s="23"/>
      <c r="D28" s="23"/>
      <c r="E28" s="23"/>
      <c r="H28" s="2"/>
    </row>
    <row r="29" spans="1:11" x14ac:dyDescent="0.2">
      <c r="A29" s="28" t="s">
        <v>447</v>
      </c>
      <c r="B29" s="4"/>
      <c r="C29" s="23"/>
      <c r="D29" s="23"/>
      <c r="E29" s="23"/>
      <c r="K29">
        <f>SUM(K15:K27)</f>
        <v>539</v>
      </c>
    </row>
    <row r="30" spans="1:11" x14ac:dyDescent="0.2">
      <c r="A30" s="25" t="s">
        <v>448</v>
      </c>
      <c r="B30" s="4" t="s">
        <v>10</v>
      </c>
      <c r="C30" s="23">
        <v>2</v>
      </c>
      <c r="D30" s="23"/>
      <c r="E30" s="14">
        <f>D30*C30</f>
        <v>0</v>
      </c>
    </row>
    <row r="31" spans="1:11" x14ac:dyDescent="0.2">
      <c r="A31" s="29" t="s">
        <v>449</v>
      </c>
      <c r="B31" s="4" t="s">
        <v>10</v>
      </c>
      <c r="C31" s="23">
        <v>2</v>
      </c>
      <c r="D31" s="23"/>
      <c r="E31" s="14">
        <f t="shared" ref="E31:E34" si="2">D31*C31</f>
        <v>0</v>
      </c>
    </row>
    <row r="32" spans="1:11" x14ac:dyDescent="0.2">
      <c r="A32" s="29" t="s">
        <v>450</v>
      </c>
      <c r="B32" s="4" t="s">
        <v>10</v>
      </c>
      <c r="C32" s="23">
        <v>1</v>
      </c>
      <c r="D32" s="23"/>
      <c r="E32" s="14">
        <f t="shared" si="2"/>
        <v>0</v>
      </c>
    </row>
    <row r="33" spans="1:7" x14ac:dyDescent="0.2">
      <c r="A33" s="29" t="s">
        <v>451</v>
      </c>
      <c r="B33" s="4" t="s">
        <v>10</v>
      </c>
      <c r="C33" s="23">
        <v>1</v>
      </c>
      <c r="D33" s="23"/>
      <c r="E33" s="14">
        <f t="shared" si="2"/>
        <v>0</v>
      </c>
    </row>
    <row r="34" spans="1:7" x14ac:dyDescent="0.2">
      <c r="A34" s="29" t="s">
        <v>452</v>
      </c>
      <c r="B34" s="4" t="s">
        <v>10</v>
      </c>
      <c r="C34" s="23">
        <v>1</v>
      </c>
      <c r="D34" s="23"/>
      <c r="E34" s="14">
        <f t="shared" si="2"/>
        <v>0</v>
      </c>
    </row>
    <row r="35" spans="1:7" x14ac:dyDescent="0.2">
      <c r="A35" s="4"/>
      <c r="B35" s="4"/>
      <c r="C35" s="23"/>
      <c r="D35" s="23"/>
      <c r="E35" s="23"/>
    </row>
    <row r="36" spans="1:7" x14ac:dyDescent="0.2">
      <c r="A36" s="6" t="s">
        <v>124</v>
      </c>
      <c r="B36" s="4"/>
      <c r="C36" s="23"/>
      <c r="D36" s="23"/>
      <c r="E36" s="23"/>
    </row>
    <row r="37" spans="1:7" x14ac:dyDescent="0.2">
      <c r="A37" s="28" t="s">
        <v>137</v>
      </c>
      <c r="B37" s="4"/>
      <c r="C37" s="23"/>
      <c r="D37" s="23"/>
      <c r="E37" s="23"/>
    </row>
    <row r="38" spans="1:7" x14ac:dyDescent="0.2">
      <c r="A38" s="29" t="s">
        <v>138</v>
      </c>
      <c r="B38" s="4" t="s">
        <v>9</v>
      </c>
      <c r="C38" s="23">
        <f>C46+C48+C52+C54</f>
        <v>132</v>
      </c>
      <c r="D38" s="23"/>
      <c r="E38" s="14">
        <f>D38*C38</f>
        <v>0</v>
      </c>
    </row>
    <row r="39" spans="1:7" x14ac:dyDescent="0.2">
      <c r="A39" s="68" t="s">
        <v>139</v>
      </c>
      <c r="B39" s="4"/>
      <c r="C39" s="23"/>
      <c r="D39" s="23"/>
      <c r="E39" s="23"/>
    </row>
    <row r="40" spans="1:7" x14ac:dyDescent="0.2">
      <c r="A40" s="43" t="s">
        <v>172</v>
      </c>
      <c r="B40" s="4" t="s">
        <v>9</v>
      </c>
      <c r="C40" s="23">
        <f>C38</f>
        <v>132</v>
      </c>
      <c r="D40" s="23"/>
      <c r="E40" s="14">
        <f>D40*C40</f>
        <v>0</v>
      </c>
      <c r="F40">
        <f>F46+F48+F52</f>
        <v>88</v>
      </c>
    </row>
    <row r="41" spans="1:7" x14ac:dyDescent="0.2">
      <c r="A41" s="68" t="s">
        <v>171</v>
      </c>
      <c r="B41" s="4"/>
      <c r="C41" s="23"/>
      <c r="D41" s="23"/>
      <c r="E41" s="23"/>
    </row>
    <row r="42" spans="1:7" x14ac:dyDescent="0.2">
      <c r="A42" s="43" t="s">
        <v>174</v>
      </c>
      <c r="B42" s="4" t="s">
        <v>9</v>
      </c>
      <c r="C42" s="23">
        <v>12</v>
      </c>
      <c r="D42" s="23"/>
      <c r="E42" s="14">
        <f>D42*C42</f>
        <v>0</v>
      </c>
    </row>
    <row r="43" spans="1:7" x14ac:dyDescent="0.2">
      <c r="A43" s="68" t="s">
        <v>399</v>
      </c>
      <c r="B43" s="4"/>
      <c r="C43" s="23"/>
      <c r="D43" s="23"/>
      <c r="E43" s="23"/>
    </row>
    <row r="44" spans="1:7" x14ac:dyDescent="0.2">
      <c r="A44" s="20"/>
      <c r="B44" s="4"/>
      <c r="C44" s="23"/>
      <c r="D44" s="23"/>
      <c r="E44" s="23"/>
    </row>
    <row r="45" spans="1:7" x14ac:dyDescent="0.2">
      <c r="A45" s="28" t="s">
        <v>140</v>
      </c>
      <c r="B45" s="4"/>
      <c r="C45" s="23"/>
      <c r="D45" s="23"/>
      <c r="E45" s="23"/>
    </row>
    <row r="46" spans="1:7" x14ac:dyDescent="0.2">
      <c r="A46" s="29" t="s">
        <v>141</v>
      </c>
      <c r="B46" s="4" t="s">
        <v>9</v>
      </c>
      <c r="C46" s="23">
        <v>24</v>
      </c>
      <c r="D46" s="23"/>
      <c r="E46" s="14">
        <f>D46*C46</f>
        <v>0</v>
      </c>
      <c r="F46">
        <f>3.8+8.4+11.6</f>
        <v>23.799999999999997</v>
      </c>
    </row>
    <row r="47" spans="1:7" x14ac:dyDescent="0.2">
      <c r="A47" s="68" t="s">
        <v>142</v>
      </c>
      <c r="B47" s="4"/>
      <c r="C47" s="23"/>
      <c r="D47" s="23"/>
      <c r="E47" s="23"/>
    </row>
    <row r="48" spans="1:7" x14ac:dyDescent="0.2">
      <c r="A48" s="70" t="s">
        <v>325</v>
      </c>
      <c r="B48" s="4" t="s">
        <v>9</v>
      </c>
      <c r="C48" s="23">
        <v>38</v>
      </c>
      <c r="D48" s="23"/>
      <c r="E48" s="14">
        <f>D48*C48</f>
        <v>0</v>
      </c>
      <c r="F48">
        <f>6.2+9.8+10.9+10.9</f>
        <v>37.799999999999997</v>
      </c>
      <c r="G48">
        <f>F48+F46</f>
        <v>61.599999999999994</v>
      </c>
    </row>
    <row r="49" spans="1:11" x14ac:dyDescent="0.2">
      <c r="A49" s="68" t="s">
        <v>324</v>
      </c>
      <c r="B49" s="4"/>
      <c r="C49" s="23"/>
      <c r="D49" s="23"/>
      <c r="E49" s="23"/>
    </row>
    <row r="50" spans="1:11" x14ac:dyDescent="0.2">
      <c r="A50" s="20"/>
      <c r="B50" s="4"/>
      <c r="C50" s="23"/>
      <c r="D50" s="23"/>
      <c r="E50" s="23"/>
    </row>
    <row r="51" spans="1:11" x14ac:dyDescent="0.2">
      <c r="A51" s="24" t="s">
        <v>143</v>
      </c>
      <c r="B51" s="4"/>
      <c r="C51" s="23"/>
      <c r="D51" s="23"/>
      <c r="E51" s="23"/>
    </row>
    <row r="52" spans="1:11" x14ac:dyDescent="0.2">
      <c r="A52" s="25" t="s">
        <v>144</v>
      </c>
      <c r="B52" s="4" t="s">
        <v>9</v>
      </c>
      <c r="C52" s="23">
        <v>27</v>
      </c>
      <c r="D52" s="23"/>
      <c r="E52" s="14">
        <f>D52*C52</f>
        <v>0</v>
      </c>
      <c r="F52">
        <f>26.4</f>
        <v>26.4</v>
      </c>
    </row>
    <row r="53" spans="1:11" x14ac:dyDescent="0.2">
      <c r="A53" s="68" t="s">
        <v>299</v>
      </c>
      <c r="B53" s="4"/>
      <c r="C53" s="23"/>
      <c r="D53" s="23"/>
      <c r="E53" s="23"/>
    </row>
    <row r="54" spans="1:11" x14ac:dyDescent="0.2">
      <c r="A54" s="25" t="s">
        <v>145</v>
      </c>
      <c r="B54" s="4" t="s">
        <v>9</v>
      </c>
      <c r="C54" s="23">
        <v>43</v>
      </c>
      <c r="D54" s="23"/>
      <c r="E54" s="14">
        <f>D54*C54</f>
        <v>0</v>
      </c>
      <c r="F54">
        <f>3.2+5+5+9.1+9.1+11.6</f>
        <v>43</v>
      </c>
    </row>
    <row r="55" spans="1:11" x14ac:dyDescent="0.2">
      <c r="A55" s="68" t="s">
        <v>300</v>
      </c>
      <c r="B55" s="4"/>
      <c r="C55" s="23"/>
      <c r="D55" s="23"/>
      <c r="E55" s="23"/>
    </row>
    <row r="56" spans="1:11" x14ac:dyDescent="0.2">
      <c r="A56" s="28"/>
      <c r="B56" s="4"/>
      <c r="C56" s="23"/>
      <c r="D56" s="23"/>
      <c r="E56" s="23"/>
    </row>
    <row r="57" spans="1:11" x14ac:dyDescent="0.2">
      <c r="A57" s="6" t="s">
        <v>146</v>
      </c>
      <c r="B57" s="4"/>
      <c r="C57" s="23"/>
      <c r="D57" s="23"/>
      <c r="E57" s="23"/>
      <c r="K57" t="s">
        <v>8</v>
      </c>
    </row>
    <row r="58" spans="1:11" x14ac:dyDescent="0.2">
      <c r="A58" s="28" t="s">
        <v>147</v>
      </c>
      <c r="B58" s="4" t="s">
        <v>12</v>
      </c>
      <c r="C58" s="23">
        <f>4*2.8</f>
        <v>11.2</v>
      </c>
      <c r="D58" s="23"/>
      <c r="E58" s="14">
        <f>D58*C58</f>
        <v>0</v>
      </c>
    </row>
    <row r="59" spans="1:11" ht="25.5" x14ac:dyDescent="0.2">
      <c r="A59" s="68" t="s">
        <v>129</v>
      </c>
      <c r="B59" s="4"/>
      <c r="C59" s="23"/>
      <c r="D59" s="23"/>
      <c r="E59" s="23"/>
    </row>
    <row r="60" spans="1:11" x14ac:dyDescent="0.2">
      <c r="A60" s="4"/>
      <c r="B60" s="4"/>
      <c r="C60" s="23"/>
      <c r="D60" s="23"/>
      <c r="E60" s="23"/>
    </row>
    <row r="61" spans="1:11" x14ac:dyDescent="0.2">
      <c r="A61" s="44" t="s">
        <v>128</v>
      </c>
      <c r="B61" s="4"/>
      <c r="C61" s="23"/>
      <c r="D61" s="23"/>
      <c r="E61" s="23"/>
    </row>
    <row r="62" spans="1:11" x14ac:dyDescent="0.2">
      <c r="A62" s="28" t="s">
        <v>127</v>
      </c>
      <c r="B62" s="4" t="s">
        <v>12</v>
      </c>
      <c r="C62" s="23">
        <v>12</v>
      </c>
      <c r="D62" s="23"/>
      <c r="E62" s="23">
        <f>C62*D62</f>
        <v>0</v>
      </c>
    </row>
    <row r="63" spans="1:11" x14ac:dyDescent="0.2">
      <c r="A63" s="20" t="s">
        <v>148</v>
      </c>
      <c r="B63" s="4"/>
      <c r="C63" s="23"/>
      <c r="D63" s="23"/>
      <c r="E63" s="23"/>
    </row>
    <row r="64" spans="1:11" x14ac:dyDescent="0.2">
      <c r="A64" s="28" t="s">
        <v>126</v>
      </c>
      <c r="B64" s="4" t="s">
        <v>10</v>
      </c>
      <c r="C64" s="23">
        <v>12</v>
      </c>
      <c r="D64" s="23"/>
      <c r="E64" s="23">
        <f>C64*D64</f>
        <v>0</v>
      </c>
      <c r="G64" s="2">
        <f>'L6'!C31+'L6'!C29+'L6'!C26+'L6'!C20+'L6'!C18</f>
        <v>11</v>
      </c>
    </row>
    <row r="65" spans="1:6" x14ac:dyDescent="0.2">
      <c r="A65" s="28" t="s">
        <v>125</v>
      </c>
      <c r="B65" s="4" t="s">
        <v>9</v>
      </c>
      <c r="C65" s="23">
        <v>130</v>
      </c>
      <c r="D65" s="23"/>
      <c r="E65" s="23">
        <f>C65*D65</f>
        <v>0</v>
      </c>
      <c r="F65">
        <v>70</v>
      </c>
    </row>
    <row r="66" spans="1:6" x14ac:dyDescent="0.2">
      <c r="A66" s="4"/>
      <c r="B66" s="4"/>
      <c r="C66" s="23"/>
      <c r="D66" s="23"/>
      <c r="E66" s="23"/>
    </row>
    <row r="67" spans="1:6" s="3" customFormat="1" ht="30" customHeight="1" x14ac:dyDescent="0.2">
      <c r="A67" s="55" t="s">
        <v>168</v>
      </c>
      <c r="B67" s="55"/>
      <c r="C67" s="53"/>
      <c r="D67" s="53"/>
      <c r="E67" s="53">
        <f>SUM(E8:E66)</f>
        <v>0</v>
      </c>
    </row>
    <row r="68" spans="1:6" s="3" customFormat="1" ht="30" customHeight="1" x14ac:dyDescent="0.2">
      <c r="A68" s="55" t="s">
        <v>23</v>
      </c>
      <c r="B68" s="55"/>
      <c r="C68" s="53"/>
      <c r="D68" s="53"/>
      <c r="E68" s="53">
        <f>E67*20%</f>
        <v>0</v>
      </c>
    </row>
    <row r="69" spans="1:6" s="3" customFormat="1" ht="30" customHeight="1" x14ac:dyDescent="0.2">
      <c r="A69" s="55" t="s">
        <v>169</v>
      </c>
      <c r="B69" s="55"/>
      <c r="C69" s="53"/>
      <c r="D69" s="53"/>
      <c r="E69" s="53">
        <f>SUM(E67:E68)</f>
        <v>0</v>
      </c>
    </row>
    <row r="71" spans="1:6" x14ac:dyDescent="0.2">
      <c r="A71" s="143" t="s">
        <v>173</v>
      </c>
      <c r="B71" s="54"/>
      <c r="C71" s="76"/>
      <c r="D71" s="76"/>
      <c r="E71" s="76"/>
    </row>
    <row r="72" spans="1:6" x14ac:dyDescent="0.2">
      <c r="A72" s="144" t="s">
        <v>411</v>
      </c>
      <c r="B72" s="145" t="s">
        <v>9</v>
      </c>
      <c r="C72" s="76">
        <v>43</v>
      </c>
      <c r="D72" s="146"/>
      <c r="E72" s="146">
        <f>D72*C72</f>
        <v>0</v>
      </c>
    </row>
    <row r="73" spans="1:6" x14ac:dyDescent="0.2">
      <c r="A73" s="140" t="s">
        <v>431</v>
      </c>
      <c r="B73" s="145"/>
      <c r="C73" s="76"/>
      <c r="D73" s="146"/>
      <c r="E73" s="146"/>
    </row>
    <row r="74" spans="1:6" x14ac:dyDescent="0.2">
      <c r="A74" s="153" t="s">
        <v>439</v>
      </c>
      <c r="B74" s="145" t="s">
        <v>9</v>
      </c>
      <c r="C74" s="76">
        <f>-C72</f>
        <v>-43</v>
      </c>
      <c r="D74" s="146">
        <f>D54</f>
        <v>0</v>
      </c>
      <c r="E74" s="146">
        <f>D74*C74</f>
        <v>0</v>
      </c>
    </row>
    <row r="75" spans="1:6" s="3" customFormat="1" ht="30" customHeight="1" x14ac:dyDescent="0.2">
      <c r="A75" s="147" t="s">
        <v>424</v>
      </c>
      <c r="B75" s="147"/>
      <c r="C75" s="148"/>
      <c r="D75" s="148"/>
      <c r="E75" s="148">
        <f>SUM(E72:E74)</f>
        <v>0</v>
      </c>
    </row>
    <row r="76" spans="1:6" s="3" customFormat="1" ht="30" customHeight="1" x14ac:dyDescent="0.2">
      <c r="A76" s="147" t="s">
        <v>23</v>
      </c>
      <c r="B76" s="147"/>
      <c r="C76" s="148"/>
      <c r="D76" s="148"/>
      <c r="E76" s="148">
        <f>E75*20%</f>
        <v>0</v>
      </c>
    </row>
    <row r="77" spans="1:6" s="3" customFormat="1" ht="30" customHeight="1" x14ac:dyDescent="0.2">
      <c r="A77" s="147" t="s">
        <v>425</v>
      </c>
      <c r="B77" s="147"/>
      <c r="C77" s="148"/>
      <c r="D77" s="148"/>
      <c r="E77" s="148">
        <f>SUM(E75:E76)</f>
        <v>0</v>
      </c>
    </row>
    <row r="78" spans="1:6" ht="112.5" customHeight="1" x14ac:dyDescent="0.2">
      <c r="A78" s="165" t="s">
        <v>458</v>
      </c>
      <c r="B78" s="166"/>
      <c r="C78" s="166"/>
      <c r="D78" s="166"/>
      <c r="E78" s="167"/>
    </row>
  </sheetData>
  <mergeCells count="5">
    <mergeCell ref="A1:E2"/>
    <mergeCell ref="A3:E4"/>
    <mergeCell ref="A6:E6"/>
    <mergeCell ref="K7:K14"/>
    <mergeCell ref="A78:E78"/>
  </mergeCells>
  <pageMargins left="0.7" right="0.7" top="0.75" bottom="0.75" header="0.3" footer="0.3"/>
  <pageSetup paperSize="9" scale="87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290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8" zoomScale="95" zoomScaleNormal="100" zoomScaleSheetLayoutView="95" workbookViewId="0">
      <selection activeCell="G50" sqref="G50"/>
    </sheetView>
  </sheetViews>
  <sheetFormatPr baseColWidth="10" defaultRowHeight="14.25" x14ac:dyDescent="0.2"/>
  <cols>
    <col min="1" max="1" width="59.625" customWidth="1"/>
    <col min="2" max="2" width="3.125" bestFit="1" customWidth="1"/>
    <col min="3" max="3" width="8.5" style="2" bestFit="1" customWidth="1"/>
    <col min="4" max="4" width="8.875" style="2" bestFit="1" customWidth="1"/>
    <col min="5" max="5" width="12.5" style="2" bestFit="1" customWidth="1"/>
  </cols>
  <sheetData>
    <row r="1" spans="1:7" x14ac:dyDescent="0.2">
      <c r="A1" s="118" t="s">
        <v>7</v>
      </c>
      <c r="B1" s="119"/>
      <c r="C1" s="119"/>
      <c r="D1" s="119"/>
      <c r="E1" s="120"/>
    </row>
    <row r="2" spans="1:7" x14ac:dyDescent="0.2">
      <c r="A2" s="121"/>
      <c r="B2" s="122"/>
      <c r="C2" s="122"/>
      <c r="D2" s="122"/>
      <c r="E2" s="123"/>
    </row>
    <row r="3" spans="1:7" x14ac:dyDescent="0.2">
      <c r="A3" s="124" t="s">
        <v>4</v>
      </c>
      <c r="B3" s="125"/>
      <c r="C3" s="125"/>
      <c r="D3" s="125"/>
      <c r="E3" s="126"/>
    </row>
    <row r="4" spans="1:7" ht="24" customHeight="1" x14ac:dyDescent="0.2">
      <c r="A4" s="124"/>
      <c r="B4" s="125"/>
      <c r="C4" s="125"/>
      <c r="D4" s="125"/>
      <c r="E4" s="126"/>
    </row>
    <row r="5" spans="1:7" x14ac:dyDescent="0.2">
      <c r="A5" s="39"/>
      <c r="B5" s="40"/>
      <c r="C5" s="41"/>
      <c r="D5" s="41"/>
      <c r="E5" s="42"/>
    </row>
    <row r="6" spans="1:7" x14ac:dyDescent="0.2">
      <c r="A6" s="127" t="s">
        <v>21</v>
      </c>
      <c r="B6" s="128"/>
      <c r="C6" s="128"/>
      <c r="D6" s="128"/>
      <c r="E6" s="129"/>
    </row>
    <row r="7" spans="1:7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7" x14ac:dyDescent="0.2">
      <c r="A8" s="17"/>
      <c r="B8" s="18"/>
      <c r="C8" s="22"/>
      <c r="D8" s="22"/>
      <c r="E8" s="22"/>
    </row>
    <row r="9" spans="1:7" x14ac:dyDescent="0.2">
      <c r="A9" s="6" t="s">
        <v>175</v>
      </c>
      <c r="B9" s="4"/>
      <c r="C9" s="23"/>
      <c r="D9" s="23"/>
      <c r="E9" s="23"/>
    </row>
    <row r="10" spans="1:7" x14ac:dyDescent="0.2">
      <c r="A10" s="24" t="s">
        <v>176</v>
      </c>
      <c r="B10" s="4" t="s">
        <v>13</v>
      </c>
      <c r="C10" s="23"/>
      <c r="D10" s="23"/>
      <c r="E10" s="23"/>
    </row>
    <row r="11" spans="1:7" x14ac:dyDescent="0.2">
      <c r="A11" s="24" t="s">
        <v>427</v>
      </c>
      <c r="B11" s="4" t="s">
        <v>13</v>
      </c>
      <c r="C11" s="23"/>
      <c r="D11" s="23"/>
      <c r="E11" s="23"/>
    </row>
    <row r="12" spans="1:7" x14ac:dyDescent="0.2">
      <c r="A12" s="24" t="s">
        <v>426</v>
      </c>
      <c r="B12" s="4" t="s">
        <v>13</v>
      </c>
      <c r="C12" s="23"/>
      <c r="D12" s="23"/>
      <c r="E12" s="23"/>
    </row>
    <row r="13" spans="1:7" x14ac:dyDescent="0.2">
      <c r="A13" s="24"/>
      <c r="B13" s="4"/>
      <c r="C13" s="23"/>
      <c r="D13" s="23"/>
      <c r="E13" s="23"/>
    </row>
    <row r="14" spans="1:7" x14ac:dyDescent="0.2">
      <c r="A14" s="6" t="s">
        <v>177</v>
      </c>
      <c r="B14" s="4"/>
      <c r="C14" s="23"/>
      <c r="D14" s="23"/>
      <c r="E14" s="23"/>
    </row>
    <row r="15" spans="1:7" x14ac:dyDescent="0.2">
      <c r="A15" s="24" t="s">
        <v>394</v>
      </c>
      <c r="B15" s="4" t="s">
        <v>9</v>
      </c>
      <c r="C15" s="23">
        <v>224</v>
      </c>
      <c r="D15" s="23"/>
      <c r="E15" s="23">
        <f>D15*C15</f>
        <v>0</v>
      </c>
      <c r="F15">
        <f>8.4+6.05+25.85+3.75+11.7+3.9+4.7+4.7+9.05+9+0.45+105.55+8.65+10.75+10.75</f>
        <v>223.25</v>
      </c>
    </row>
    <row r="16" spans="1:7" x14ac:dyDescent="0.2">
      <c r="A16" s="68" t="s">
        <v>178</v>
      </c>
      <c r="B16" s="4"/>
      <c r="C16" s="23"/>
      <c r="D16" s="23"/>
      <c r="E16" s="23"/>
      <c r="G16" t="s">
        <v>326</v>
      </c>
    </row>
    <row r="17" spans="1:10" x14ac:dyDescent="0.2">
      <c r="A17" s="25" t="s">
        <v>421</v>
      </c>
      <c r="B17" s="21" t="s">
        <v>9</v>
      </c>
      <c r="C17" s="27">
        <f>4.7*2+8.4</f>
        <v>17.8</v>
      </c>
      <c r="D17" s="27"/>
      <c r="E17" s="27">
        <f>D17*C17</f>
        <v>0</v>
      </c>
    </row>
    <row r="18" spans="1:10" x14ac:dyDescent="0.2">
      <c r="A18" s="68" t="s">
        <v>393</v>
      </c>
      <c r="B18" s="4"/>
      <c r="C18" s="23"/>
      <c r="D18" s="23"/>
      <c r="E18" s="23"/>
    </row>
    <row r="19" spans="1:10" x14ac:dyDescent="0.2">
      <c r="A19" s="71" t="s">
        <v>422</v>
      </c>
      <c r="B19" s="4" t="s">
        <v>10</v>
      </c>
      <c r="C19" s="23">
        <v>3</v>
      </c>
      <c r="D19" s="23"/>
      <c r="E19" s="27">
        <f t="shared" ref="E19" si="0">D19*C19</f>
        <v>0</v>
      </c>
    </row>
    <row r="20" spans="1:10" x14ac:dyDescent="0.2">
      <c r="A20" s="68" t="s">
        <v>423</v>
      </c>
      <c r="B20" s="4"/>
      <c r="C20" s="23"/>
      <c r="D20" s="23"/>
      <c r="E20" s="23"/>
    </row>
    <row r="21" spans="1:10" x14ac:dyDescent="0.2">
      <c r="A21" s="20"/>
      <c r="B21" s="4"/>
      <c r="C21" s="23"/>
      <c r="D21" s="23"/>
      <c r="E21" s="23"/>
    </row>
    <row r="22" spans="1:10" x14ac:dyDescent="0.2">
      <c r="A22" s="6" t="s">
        <v>180</v>
      </c>
      <c r="B22" s="4"/>
      <c r="C22" s="23"/>
      <c r="D22" s="23"/>
      <c r="E22" s="23"/>
    </row>
    <row r="23" spans="1:10" x14ac:dyDescent="0.2">
      <c r="A23" s="24" t="s">
        <v>181</v>
      </c>
      <c r="B23" s="4" t="s">
        <v>9</v>
      </c>
      <c r="C23" s="23">
        <v>40</v>
      </c>
      <c r="D23" s="23"/>
      <c r="E23" s="23">
        <f>D23*C23</f>
        <v>0</v>
      </c>
      <c r="F23">
        <f>14.44*2.7</f>
        <v>38.988</v>
      </c>
    </row>
    <row r="24" spans="1:10" ht="25.5" x14ac:dyDescent="0.2">
      <c r="A24" s="20" t="s">
        <v>360</v>
      </c>
      <c r="B24" s="4"/>
      <c r="C24" s="23"/>
      <c r="D24" s="23"/>
      <c r="E24" s="23"/>
      <c r="F24" t="s">
        <v>357</v>
      </c>
      <c r="G24" t="s">
        <v>358</v>
      </c>
      <c r="H24" t="s">
        <v>359</v>
      </c>
    </row>
    <row r="25" spans="1:10" x14ac:dyDescent="0.2">
      <c r="A25" s="20"/>
      <c r="B25" s="4"/>
      <c r="C25" s="23"/>
      <c r="D25" s="23"/>
      <c r="E25" s="23"/>
    </row>
    <row r="26" spans="1:10" ht="15.75" x14ac:dyDescent="0.2">
      <c r="A26" s="142" t="s">
        <v>361</v>
      </c>
      <c r="B26" s="4" t="s">
        <v>9</v>
      </c>
      <c r="C26" s="23">
        <v>84</v>
      </c>
      <c r="D26" s="23"/>
      <c r="E26" s="23">
        <f>D26*C26</f>
        <v>0</v>
      </c>
      <c r="F26">
        <f>9*2*2</f>
        <v>36</v>
      </c>
      <c r="G26">
        <f>(12.3+16+6.25)*1.2</f>
        <v>41.459999999999994</v>
      </c>
      <c r="H26">
        <f>2*1.2</f>
        <v>2.4</v>
      </c>
      <c r="I26">
        <f>((2+0.6*2)*2+0.4*2*3)*0.4</f>
        <v>3.5200000000000005</v>
      </c>
      <c r="J26">
        <f>F26+G26++H26+I26</f>
        <v>83.38</v>
      </c>
    </row>
    <row r="27" spans="1:10" ht="25.5" x14ac:dyDescent="0.2">
      <c r="A27" s="20" t="s">
        <v>362</v>
      </c>
      <c r="B27" s="4"/>
      <c r="C27" s="23"/>
      <c r="D27" s="23"/>
      <c r="E27" s="23"/>
    </row>
    <row r="28" spans="1:10" x14ac:dyDescent="0.2">
      <c r="A28" s="20"/>
      <c r="B28" s="4"/>
      <c r="C28" s="23"/>
      <c r="D28" s="23"/>
      <c r="E28" s="23"/>
    </row>
    <row r="29" spans="1:10" x14ac:dyDescent="0.2">
      <c r="A29" s="24" t="s">
        <v>363</v>
      </c>
      <c r="B29" s="4" t="s">
        <v>9</v>
      </c>
      <c r="C29" s="23">
        <f>C23+C26</f>
        <v>124</v>
      </c>
      <c r="D29" s="23"/>
      <c r="E29" s="23">
        <f>D29*C29</f>
        <v>0</v>
      </c>
    </row>
    <row r="30" spans="1:10" x14ac:dyDescent="0.2">
      <c r="A30" s="20" t="s">
        <v>179</v>
      </c>
      <c r="B30" s="4"/>
      <c r="C30" s="23"/>
      <c r="D30" s="23"/>
      <c r="E30" s="23"/>
    </row>
    <row r="31" spans="1:10" x14ac:dyDescent="0.2">
      <c r="A31" s="20"/>
      <c r="B31" s="4"/>
      <c r="C31" s="23"/>
      <c r="D31" s="23"/>
      <c r="E31" s="23"/>
    </row>
    <row r="32" spans="1:10" x14ac:dyDescent="0.2">
      <c r="A32" s="24" t="s">
        <v>364</v>
      </c>
      <c r="B32" s="4" t="s">
        <v>11</v>
      </c>
      <c r="C32" s="23">
        <v>1</v>
      </c>
      <c r="D32" s="23"/>
      <c r="E32" s="23">
        <f>D32*C32</f>
        <v>0</v>
      </c>
    </row>
    <row r="33" spans="1:6" x14ac:dyDescent="0.2">
      <c r="A33" s="20" t="s">
        <v>365</v>
      </c>
      <c r="B33" s="4"/>
      <c r="C33" s="23"/>
      <c r="D33" s="23"/>
      <c r="E33" s="23"/>
    </row>
    <row r="34" spans="1:6" s="36" customFormat="1" x14ac:dyDescent="0.2">
      <c r="C34" s="37"/>
      <c r="D34" s="37"/>
      <c r="E34" s="37"/>
    </row>
    <row r="35" spans="1:6" s="3" customFormat="1" ht="30" customHeight="1" x14ac:dyDescent="0.2">
      <c r="A35" s="55" t="s">
        <v>182</v>
      </c>
      <c r="B35" s="55"/>
      <c r="C35" s="53"/>
      <c r="D35" s="53"/>
      <c r="E35" s="53">
        <f>SUM(E15:E33)</f>
        <v>0</v>
      </c>
    </row>
    <row r="36" spans="1:6" s="3" customFormat="1" ht="30" customHeight="1" x14ac:dyDescent="0.2">
      <c r="A36" s="55" t="s">
        <v>23</v>
      </c>
      <c r="B36" s="55"/>
      <c r="C36" s="53"/>
      <c r="D36" s="53"/>
      <c r="E36" s="53">
        <f>E35*20%</f>
        <v>0</v>
      </c>
    </row>
    <row r="37" spans="1:6" s="3" customFormat="1" ht="30" customHeight="1" x14ac:dyDescent="0.2">
      <c r="A37" s="55" t="s">
        <v>183</v>
      </c>
      <c r="B37" s="55"/>
      <c r="C37" s="53"/>
      <c r="D37" s="53"/>
      <c r="E37" s="53">
        <f>E35+E36</f>
        <v>0</v>
      </c>
    </row>
    <row r="39" spans="1:6" x14ac:dyDescent="0.2">
      <c r="A39" s="6" t="s">
        <v>351</v>
      </c>
      <c r="B39" s="4"/>
      <c r="C39" s="23"/>
      <c r="D39" s="23"/>
      <c r="E39" s="23"/>
    </row>
    <row r="40" spans="1:6" x14ac:dyDescent="0.2">
      <c r="A40" s="28" t="s">
        <v>334</v>
      </c>
      <c r="B40" s="4" t="s">
        <v>9</v>
      </c>
      <c r="C40" s="23">
        <v>191.9</v>
      </c>
      <c r="D40" s="23"/>
      <c r="E40" s="23">
        <f>D40*C40</f>
        <v>0</v>
      </c>
      <c r="F40" s="23">
        <f>105.4+9.17+9.17+9.88+10.87+10.87+36.51</f>
        <v>191.87</v>
      </c>
    </row>
    <row r="41" spans="1:6" ht="25.5" x14ac:dyDescent="0.2">
      <c r="A41" s="20" t="s">
        <v>335</v>
      </c>
      <c r="B41" s="4"/>
      <c r="C41" s="23"/>
      <c r="D41" s="23"/>
      <c r="E41" s="23"/>
    </row>
    <row r="42" spans="1:6" x14ac:dyDescent="0.2">
      <c r="A42" s="24" t="s">
        <v>336</v>
      </c>
      <c r="B42" s="4"/>
      <c r="C42" s="23"/>
      <c r="D42" s="23"/>
      <c r="E42" s="23"/>
    </row>
    <row r="43" spans="1:6" x14ac:dyDescent="0.2">
      <c r="A43" s="25" t="s">
        <v>337</v>
      </c>
      <c r="B43" s="4" t="s">
        <v>9</v>
      </c>
      <c r="C43" s="23">
        <f>-C40</f>
        <v>-191.9</v>
      </c>
      <c r="D43" s="23">
        <f>D15</f>
        <v>0</v>
      </c>
      <c r="E43" s="23">
        <f>D43*C43</f>
        <v>0</v>
      </c>
    </row>
    <row r="45" spans="1:6" s="3" customFormat="1" ht="30" customHeight="1" x14ac:dyDescent="0.2">
      <c r="A45" s="55" t="s">
        <v>352</v>
      </c>
      <c r="B45" s="55"/>
      <c r="C45" s="53"/>
      <c r="D45" s="53"/>
      <c r="E45" s="53">
        <f>SUM(E39:E44)</f>
        <v>0</v>
      </c>
    </row>
    <row r="46" spans="1:6" s="3" customFormat="1" ht="30" customHeight="1" x14ac:dyDescent="0.2">
      <c r="A46" s="55" t="s">
        <v>23</v>
      </c>
      <c r="B46" s="55"/>
      <c r="C46" s="53"/>
      <c r="D46" s="53"/>
      <c r="E46" s="53">
        <f>E45*20%</f>
        <v>0</v>
      </c>
    </row>
    <row r="47" spans="1:6" s="3" customFormat="1" ht="30" customHeight="1" x14ac:dyDescent="0.2">
      <c r="A47" s="55" t="s">
        <v>353</v>
      </c>
      <c r="B47" s="55"/>
      <c r="C47" s="53"/>
      <c r="D47" s="53"/>
      <c r="E47" s="53">
        <f>E45+E46</f>
        <v>0</v>
      </c>
    </row>
    <row r="48" spans="1:6" ht="112.5" customHeight="1" x14ac:dyDescent="0.2">
      <c r="A48" s="165" t="s">
        <v>458</v>
      </c>
      <c r="B48" s="166"/>
      <c r="C48" s="166"/>
      <c r="D48" s="166"/>
      <c r="E48" s="167"/>
    </row>
  </sheetData>
  <mergeCells count="4">
    <mergeCell ref="A1:E2"/>
    <mergeCell ref="A3:E4"/>
    <mergeCell ref="A6:E6"/>
    <mergeCell ref="A48:E48"/>
  </mergeCells>
  <pageMargins left="0.7" right="0.7" top="0.75" bottom="0.75" header="0.3" footer="0.3"/>
  <pageSetup paperSize="9" scale="87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291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34" zoomScaleNormal="85" zoomScaleSheetLayoutView="100" workbookViewId="0">
      <selection activeCell="G52" sqref="G52"/>
    </sheetView>
  </sheetViews>
  <sheetFormatPr baseColWidth="10" defaultRowHeight="14.25" x14ac:dyDescent="0.2"/>
  <cols>
    <col min="1" max="1" width="59.625" customWidth="1"/>
    <col min="2" max="2" width="3.25" bestFit="1" customWidth="1"/>
    <col min="3" max="3" width="8.5" style="2" bestFit="1" customWidth="1"/>
    <col min="4" max="4" width="8.875" style="2" bestFit="1" customWidth="1"/>
    <col min="5" max="5" width="12.5" style="2" bestFit="1" customWidth="1"/>
    <col min="7" max="7" width="12.375" bestFit="1" customWidth="1"/>
  </cols>
  <sheetData>
    <row r="1" spans="1:7" x14ac:dyDescent="0.2">
      <c r="A1" s="118" t="s">
        <v>7</v>
      </c>
      <c r="B1" s="119"/>
      <c r="C1" s="119"/>
      <c r="D1" s="119"/>
      <c r="E1" s="120"/>
    </row>
    <row r="2" spans="1:7" x14ac:dyDescent="0.2">
      <c r="A2" s="121"/>
      <c r="B2" s="122"/>
      <c r="C2" s="122"/>
      <c r="D2" s="122"/>
      <c r="E2" s="123"/>
    </row>
    <row r="3" spans="1:7" x14ac:dyDescent="0.2">
      <c r="A3" s="124" t="s">
        <v>4</v>
      </c>
      <c r="B3" s="125"/>
      <c r="C3" s="125"/>
      <c r="D3" s="125"/>
      <c r="E3" s="126"/>
    </row>
    <row r="4" spans="1:7" ht="21.75" customHeight="1" x14ac:dyDescent="0.2">
      <c r="A4" s="124"/>
      <c r="B4" s="125"/>
      <c r="C4" s="125"/>
      <c r="D4" s="125"/>
      <c r="E4" s="126"/>
    </row>
    <row r="5" spans="1:7" x14ac:dyDescent="0.2">
      <c r="A5" s="39"/>
      <c r="B5" s="40"/>
      <c r="C5" s="41"/>
      <c r="D5" s="41"/>
      <c r="E5" s="42"/>
    </row>
    <row r="6" spans="1:7" x14ac:dyDescent="0.2">
      <c r="A6" s="127" t="s">
        <v>22</v>
      </c>
      <c r="B6" s="128"/>
      <c r="C6" s="128"/>
      <c r="D6" s="128"/>
      <c r="E6" s="129"/>
    </row>
    <row r="7" spans="1:7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7" x14ac:dyDescent="0.2">
      <c r="A8" s="6" t="s">
        <v>184</v>
      </c>
      <c r="B8" s="4"/>
      <c r="C8" s="23"/>
      <c r="D8" s="23"/>
      <c r="E8" s="23"/>
    </row>
    <row r="9" spans="1:7" x14ac:dyDescent="0.2">
      <c r="A9" s="28" t="s">
        <v>185</v>
      </c>
      <c r="B9" s="4" t="s">
        <v>13</v>
      </c>
      <c r="C9" s="23"/>
      <c r="D9" s="23"/>
      <c r="E9" s="23"/>
    </row>
    <row r="10" spans="1:7" x14ac:dyDescent="0.2">
      <c r="A10" s="28" t="s">
        <v>417</v>
      </c>
      <c r="B10" s="4" t="s">
        <v>13</v>
      </c>
      <c r="C10" s="23"/>
      <c r="D10" s="23"/>
      <c r="E10" s="23"/>
    </row>
    <row r="11" spans="1:7" x14ac:dyDescent="0.2">
      <c r="A11" s="28" t="s">
        <v>416</v>
      </c>
      <c r="B11" s="4" t="s">
        <v>13</v>
      </c>
      <c r="C11" s="23"/>
      <c r="D11" s="23"/>
      <c r="E11" s="23"/>
    </row>
    <row r="12" spans="1:7" x14ac:dyDescent="0.2">
      <c r="A12" s="28" t="s">
        <v>415</v>
      </c>
      <c r="B12" s="4" t="s">
        <v>13</v>
      </c>
      <c r="C12" s="23"/>
      <c r="D12" s="23"/>
      <c r="E12" s="23"/>
    </row>
    <row r="13" spans="1:7" x14ac:dyDescent="0.2">
      <c r="A13" s="28"/>
      <c r="B13" s="4"/>
      <c r="C13" s="23"/>
      <c r="D13" s="23"/>
      <c r="E13" s="23"/>
    </row>
    <row r="14" spans="1:7" x14ac:dyDescent="0.2">
      <c r="A14" s="49" t="s">
        <v>186</v>
      </c>
      <c r="B14" s="4"/>
      <c r="C14" s="23"/>
      <c r="D14" s="23"/>
      <c r="E14" s="23"/>
    </row>
    <row r="15" spans="1:7" ht="25.5" x14ac:dyDescent="0.2">
      <c r="A15" s="68" t="s">
        <v>414</v>
      </c>
      <c r="B15" s="21" t="s">
        <v>9</v>
      </c>
      <c r="C15" s="27">
        <f>74+11</f>
        <v>85</v>
      </c>
      <c r="D15" s="27"/>
      <c r="E15" s="27">
        <f>C15*D15</f>
        <v>0</v>
      </c>
      <c r="F15" s="27">
        <f>17*4.2+4.4*0.4</f>
        <v>73.160000000000011</v>
      </c>
      <c r="G15">
        <f>110*0.11</f>
        <v>12.1</v>
      </c>
    </row>
    <row r="16" spans="1:7" x14ac:dyDescent="0.2">
      <c r="A16" s="50"/>
      <c r="B16" s="21"/>
      <c r="C16" s="27"/>
      <c r="D16" s="27"/>
      <c r="E16" s="27"/>
    </row>
    <row r="17" spans="1:16" x14ac:dyDescent="0.2">
      <c r="A17" s="49" t="s">
        <v>187</v>
      </c>
      <c r="B17" s="4"/>
      <c r="C17" s="23"/>
      <c r="D17" s="23"/>
      <c r="E17" s="23"/>
      <c r="G17" t="s">
        <v>397</v>
      </c>
      <c r="H17" t="s">
        <v>398</v>
      </c>
    </row>
    <row r="18" spans="1:16" ht="28.5" x14ac:dyDescent="0.2">
      <c r="A18" s="24" t="s">
        <v>188</v>
      </c>
      <c r="B18" s="21" t="s">
        <v>9</v>
      </c>
      <c r="C18" s="27">
        <v>345</v>
      </c>
      <c r="D18" s="27"/>
      <c r="E18" s="27">
        <f>C18*D18</f>
        <v>0</v>
      </c>
      <c r="F18" s="2">
        <f>'L7'!K29</f>
        <v>539</v>
      </c>
      <c r="G18" s="2">
        <f>'L8'!C23+'L8'!C26</f>
        <v>124</v>
      </c>
      <c r="H18">
        <f>17*4.2</f>
        <v>71.400000000000006</v>
      </c>
      <c r="I18" s="2">
        <f>F18-G18-H18</f>
        <v>343.6</v>
      </c>
      <c r="P18" t="s">
        <v>8</v>
      </c>
    </row>
    <row r="19" spans="1:16" x14ac:dyDescent="0.2">
      <c r="A19" s="68" t="s">
        <v>189</v>
      </c>
      <c r="B19" s="4"/>
      <c r="C19" s="23"/>
      <c r="D19" s="23"/>
      <c r="E19" s="23"/>
    </row>
    <row r="20" spans="1:16" x14ac:dyDescent="0.2">
      <c r="A20" s="28" t="s">
        <v>190</v>
      </c>
      <c r="B20" s="4" t="s">
        <v>9</v>
      </c>
      <c r="C20" s="23">
        <v>62</v>
      </c>
      <c r="D20" s="23"/>
      <c r="E20" s="23">
        <f>C20*D20</f>
        <v>0</v>
      </c>
      <c r="F20" s="23">
        <f>'L7'!F46+'L7'!F48</f>
        <v>61.599999999999994</v>
      </c>
    </row>
    <row r="21" spans="1:16" ht="25.5" x14ac:dyDescent="0.2">
      <c r="A21" s="68" t="s">
        <v>191</v>
      </c>
      <c r="B21" s="4"/>
      <c r="C21" s="23"/>
      <c r="D21" s="23"/>
      <c r="E21" s="23"/>
    </row>
    <row r="22" spans="1:16" x14ac:dyDescent="0.2">
      <c r="A22" s="50"/>
      <c r="B22" s="4"/>
      <c r="C22" s="23"/>
      <c r="D22" s="23"/>
      <c r="E22" s="23"/>
    </row>
    <row r="23" spans="1:16" x14ac:dyDescent="0.2">
      <c r="A23" s="49" t="s">
        <v>192</v>
      </c>
      <c r="B23" s="4"/>
      <c r="C23" s="23"/>
      <c r="D23" s="23"/>
      <c r="E23" s="23"/>
    </row>
    <row r="24" spans="1:16" x14ac:dyDescent="0.2">
      <c r="A24" s="28" t="s">
        <v>366</v>
      </c>
      <c r="B24" s="4" t="s">
        <v>9</v>
      </c>
      <c r="C24" s="23">
        <v>100</v>
      </c>
      <c r="D24" s="23"/>
      <c r="E24" s="23">
        <f>C24*D24</f>
        <v>0</v>
      </c>
    </row>
    <row r="25" spans="1:16" ht="25.5" x14ac:dyDescent="0.2">
      <c r="A25" s="68" t="s">
        <v>367</v>
      </c>
      <c r="B25" s="4"/>
      <c r="C25" s="23"/>
      <c r="D25" s="23"/>
      <c r="E25" s="23"/>
    </row>
    <row r="26" spans="1:16" x14ac:dyDescent="0.2">
      <c r="A26" s="28" t="s">
        <v>193</v>
      </c>
      <c r="B26" s="4"/>
      <c r="C26" s="23"/>
      <c r="D26" s="23"/>
      <c r="E26" s="23"/>
    </row>
    <row r="27" spans="1:16" x14ac:dyDescent="0.2">
      <c r="A27" s="68" t="s">
        <v>194</v>
      </c>
      <c r="B27" s="4"/>
      <c r="C27" s="23"/>
      <c r="D27" s="23"/>
      <c r="E27" s="23"/>
    </row>
    <row r="28" spans="1:16" x14ac:dyDescent="0.2">
      <c r="A28" s="70" t="s">
        <v>418</v>
      </c>
      <c r="B28" s="4" t="s">
        <v>12</v>
      </c>
      <c r="C28" s="23">
        <v>60</v>
      </c>
      <c r="D28" s="23"/>
      <c r="E28" s="23">
        <f>C28*D28</f>
        <v>0</v>
      </c>
    </row>
    <row r="29" spans="1:16" x14ac:dyDescent="0.2">
      <c r="A29" s="70" t="s">
        <v>419</v>
      </c>
      <c r="B29" s="4" t="s">
        <v>12</v>
      </c>
      <c r="C29" s="23">
        <v>42</v>
      </c>
      <c r="D29" s="23"/>
      <c r="E29" s="23">
        <f t="shared" ref="E29:E30" si="0">C29*D29</f>
        <v>0</v>
      </c>
    </row>
    <row r="30" spans="1:16" x14ac:dyDescent="0.2">
      <c r="A30" s="70" t="s">
        <v>420</v>
      </c>
      <c r="B30" s="4" t="s">
        <v>12</v>
      </c>
      <c r="C30" s="23">
        <v>32</v>
      </c>
      <c r="D30" s="23"/>
      <c r="E30" s="23">
        <f t="shared" si="0"/>
        <v>0</v>
      </c>
    </row>
    <row r="31" spans="1:16" x14ac:dyDescent="0.2">
      <c r="A31" s="50"/>
      <c r="B31" s="4"/>
      <c r="C31" s="23"/>
      <c r="D31" s="23"/>
      <c r="E31" s="23"/>
    </row>
    <row r="32" spans="1:16" x14ac:dyDescent="0.2">
      <c r="A32" s="49" t="s">
        <v>195</v>
      </c>
      <c r="B32" s="4" t="s">
        <v>9</v>
      </c>
      <c r="C32" s="23">
        <v>225</v>
      </c>
      <c r="D32" s="23"/>
      <c r="E32" s="23">
        <f>C32*D32</f>
        <v>0</v>
      </c>
    </row>
    <row r="33" spans="1:6" x14ac:dyDescent="0.2">
      <c r="A33" s="4"/>
      <c r="B33" s="4"/>
      <c r="C33" s="23"/>
      <c r="D33" s="23"/>
      <c r="E33" s="23"/>
    </row>
    <row r="34" spans="1:6" s="3" customFormat="1" ht="30" customHeight="1" x14ac:dyDescent="0.2">
      <c r="A34" s="55" t="s">
        <v>196</v>
      </c>
      <c r="B34" s="55"/>
      <c r="C34" s="53"/>
      <c r="D34" s="53"/>
      <c r="E34" s="53">
        <f>SUM(E14:E33)</f>
        <v>0</v>
      </c>
    </row>
    <row r="35" spans="1:6" s="3" customFormat="1" ht="30" customHeight="1" x14ac:dyDescent="0.2">
      <c r="A35" s="55" t="s">
        <v>23</v>
      </c>
      <c r="B35" s="55"/>
      <c r="C35" s="53"/>
      <c r="D35" s="53"/>
      <c r="E35" s="53">
        <f>E34*20%</f>
        <v>0</v>
      </c>
    </row>
    <row r="36" spans="1:6" s="3" customFormat="1" ht="30" customHeight="1" x14ac:dyDescent="0.2">
      <c r="A36" s="55" t="s">
        <v>197</v>
      </c>
      <c r="B36" s="55"/>
      <c r="C36" s="53"/>
      <c r="D36" s="53"/>
      <c r="E36" s="53">
        <f>E34+E35</f>
        <v>0</v>
      </c>
    </row>
    <row r="38" spans="1:6" x14ac:dyDescent="0.2">
      <c r="A38" s="6" t="s">
        <v>301</v>
      </c>
      <c r="B38" s="4"/>
      <c r="C38" s="23"/>
      <c r="D38" s="23"/>
      <c r="E38" s="23"/>
    </row>
    <row r="39" spans="1:6" x14ac:dyDescent="0.2">
      <c r="A39" s="28" t="s">
        <v>302</v>
      </c>
      <c r="B39" s="4"/>
      <c r="C39" s="23"/>
      <c r="D39" s="23"/>
      <c r="E39" s="23"/>
    </row>
    <row r="40" spans="1:6" x14ac:dyDescent="0.2">
      <c r="A40" s="29" t="s">
        <v>303</v>
      </c>
      <c r="B40" s="4" t="s">
        <v>9</v>
      </c>
      <c r="C40" s="23">
        <v>43</v>
      </c>
      <c r="D40" s="23"/>
      <c r="E40" s="23">
        <f>D40*C40</f>
        <v>0</v>
      </c>
    </row>
    <row r="41" spans="1:6" x14ac:dyDescent="0.2">
      <c r="A41" s="52" t="s">
        <v>298</v>
      </c>
      <c r="B41" s="4"/>
      <c r="C41" s="23"/>
      <c r="D41" s="23"/>
      <c r="E41" s="23"/>
    </row>
    <row r="42" spans="1:6" ht="30" customHeight="1" x14ac:dyDescent="0.2">
      <c r="A42" s="55" t="s">
        <v>304</v>
      </c>
      <c r="B42" s="4"/>
      <c r="C42" s="23"/>
      <c r="D42" s="23"/>
      <c r="E42" s="53">
        <f>SUM(E40:E41)</f>
        <v>0</v>
      </c>
    </row>
    <row r="43" spans="1:6" ht="30" customHeight="1" x14ac:dyDescent="0.2">
      <c r="A43" s="55" t="s">
        <v>23</v>
      </c>
      <c r="B43" s="55"/>
      <c r="C43" s="53"/>
      <c r="D43" s="53"/>
      <c r="E43" s="53">
        <f>E42*20%</f>
        <v>0</v>
      </c>
    </row>
    <row r="44" spans="1:6" ht="30" customHeight="1" x14ac:dyDescent="0.2">
      <c r="A44" s="55" t="s">
        <v>338</v>
      </c>
      <c r="B44" s="55"/>
      <c r="C44" s="53"/>
      <c r="D44" s="53"/>
      <c r="E44" s="53">
        <f>E42+E43</f>
        <v>0</v>
      </c>
    </row>
    <row r="46" spans="1:6" ht="28.5" x14ac:dyDescent="0.2">
      <c r="A46" s="82" t="s">
        <v>339</v>
      </c>
      <c r="B46" s="4"/>
      <c r="C46" s="23"/>
      <c r="D46" s="23"/>
      <c r="E46" s="23"/>
      <c r="F46" s="81">
        <f>1.3*8.1</f>
        <v>10.53</v>
      </c>
    </row>
    <row r="47" spans="1:6" x14ac:dyDescent="0.2">
      <c r="A47" s="83" t="s">
        <v>340</v>
      </c>
      <c r="B47" s="4" t="s">
        <v>9</v>
      </c>
      <c r="C47" s="23">
        <f>11*2.5</f>
        <v>27.5</v>
      </c>
      <c r="D47" s="23"/>
      <c r="E47" s="23">
        <f>D47*C47</f>
        <v>0</v>
      </c>
    </row>
    <row r="48" spans="1:6" x14ac:dyDescent="0.2">
      <c r="A48" s="84" t="s">
        <v>341</v>
      </c>
      <c r="B48" s="4"/>
      <c r="C48" s="23"/>
      <c r="D48" s="23"/>
      <c r="E48" s="23"/>
    </row>
    <row r="49" spans="1:5" ht="30" customHeight="1" x14ac:dyDescent="0.2">
      <c r="A49" s="56" t="s">
        <v>342</v>
      </c>
      <c r="B49" s="4"/>
      <c r="C49" s="23"/>
      <c r="D49" s="23"/>
      <c r="E49" s="53">
        <f>SUM(E46:E47)</f>
        <v>0</v>
      </c>
    </row>
    <row r="50" spans="1:5" ht="30" customHeight="1" x14ac:dyDescent="0.2">
      <c r="A50" s="55" t="s">
        <v>23</v>
      </c>
      <c r="B50" s="55"/>
      <c r="C50" s="53"/>
      <c r="D50" s="53"/>
      <c r="E50" s="53">
        <f>E49*20%</f>
        <v>0</v>
      </c>
    </row>
    <row r="51" spans="1:5" ht="30" customHeight="1" x14ac:dyDescent="0.2">
      <c r="A51" s="56" t="s">
        <v>343</v>
      </c>
      <c r="B51" s="55"/>
      <c r="C51" s="53"/>
      <c r="D51" s="53"/>
      <c r="E51" s="53">
        <f>E49+E50</f>
        <v>0</v>
      </c>
    </row>
    <row r="52" spans="1:5" ht="112.5" customHeight="1" x14ac:dyDescent="0.2">
      <c r="A52" s="165" t="s">
        <v>458</v>
      </c>
      <c r="B52" s="166"/>
      <c r="C52" s="166"/>
      <c r="D52" s="166"/>
      <c r="E52" s="167"/>
    </row>
  </sheetData>
  <mergeCells count="4">
    <mergeCell ref="A1:E2"/>
    <mergeCell ref="A3:E4"/>
    <mergeCell ref="A6:E6"/>
    <mergeCell ref="A52:E52"/>
  </mergeCells>
  <pageMargins left="0.7" right="0.7" top="0.75" bottom="0.75" header="0.3" footer="0.3"/>
  <pageSetup paperSize="9" scale="86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19" zoomScaleNormal="100" zoomScaleSheetLayoutView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48"/>
      <c r="B12" s="48"/>
      <c r="C12" s="48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46"/>
      <c r="B25" s="47"/>
      <c r="C25" s="47"/>
    </row>
    <row r="26" spans="1:8" ht="18" x14ac:dyDescent="0.25">
      <c r="A26" s="109" t="s">
        <v>214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46"/>
      <c r="B28" s="47"/>
      <c r="C28" s="47"/>
    </row>
    <row r="29" spans="1:8" x14ac:dyDescent="0.2">
      <c r="A29" s="46"/>
      <c r="B29" s="47"/>
      <c r="C29" s="47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162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273</v>
      </c>
      <c r="C32" s="98"/>
    </row>
    <row r="33" spans="1:3" s="10" customFormat="1" ht="54.95" customHeight="1" x14ac:dyDescent="0.2">
      <c r="A33" s="9" t="s">
        <v>15</v>
      </c>
      <c r="B33" s="98" t="s">
        <v>274</v>
      </c>
      <c r="C33" s="98"/>
    </row>
    <row r="34" spans="1:3" s="10" customFormat="1" ht="69.75" customHeight="1" x14ac:dyDescent="0.2">
      <c r="A34" s="9" t="s">
        <v>16</v>
      </c>
      <c r="B34" s="98" t="s">
        <v>275</v>
      </c>
      <c r="C34" s="98"/>
    </row>
    <row r="35" spans="1:3" ht="60" customHeight="1" x14ac:dyDescent="0.2"/>
  </sheetData>
  <mergeCells count="17">
    <mergeCell ref="A15:C15"/>
    <mergeCell ref="A1:C1"/>
    <mergeCell ref="A2:C3"/>
    <mergeCell ref="A9:C9"/>
    <mergeCell ref="A10:C10"/>
    <mergeCell ref="A14:C14"/>
    <mergeCell ref="A4:C4"/>
    <mergeCell ref="A11:C11"/>
    <mergeCell ref="B34:C34"/>
    <mergeCell ref="A20:C20"/>
    <mergeCell ref="A23:C23"/>
    <mergeCell ref="A30:C30"/>
    <mergeCell ref="B31:C31"/>
    <mergeCell ref="B32:C32"/>
    <mergeCell ref="B33:C33"/>
    <mergeCell ref="A26:C26"/>
    <mergeCell ref="A21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topLeftCell="A80" zoomScaleNormal="100" zoomScaleSheetLayoutView="100" workbookViewId="0">
      <selection activeCell="G72" sqref="G72"/>
    </sheetView>
  </sheetViews>
  <sheetFormatPr baseColWidth="10" defaultRowHeight="14.25" x14ac:dyDescent="0.2"/>
  <cols>
    <col min="1" max="1" width="59.625" customWidth="1"/>
    <col min="2" max="2" width="3.125" bestFit="1" customWidth="1"/>
    <col min="3" max="3" width="8.5" style="2" bestFit="1" customWidth="1"/>
    <col min="4" max="4" width="8.875" style="2" bestFit="1" customWidth="1"/>
    <col min="5" max="5" width="12.5" style="2" bestFit="1" customWidth="1"/>
  </cols>
  <sheetData>
    <row r="1" spans="1:5" ht="14.25" customHeight="1" x14ac:dyDescent="0.2">
      <c r="A1" s="118" t="s">
        <v>7</v>
      </c>
      <c r="B1" s="119"/>
      <c r="C1" s="119"/>
      <c r="D1" s="119"/>
      <c r="E1" s="120"/>
    </row>
    <row r="2" spans="1:5" ht="14.25" customHeight="1" x14ac:dyDescent="0.2">
      <c r="A2" s="121"/>
      <c r="B2" s="122"/>
      <c r="C2" s="122"/>
      <c r="D2" s="122"/>
      <c r="E2" s="123"/>
    </row>
    <row r="3" spans="1:5" ht="22.5" customHeight="1" x14ac:dyDescent="0.2">
      <c r="A3" s="124" t="s">
        <v>4</v>
      </c>
      <c r="B3" s="125"/>
      <c r="C3" s="125"/>
      <c r="D3" s="125"/>
      <c r="E3" s="126"/>
    </row>
    <row r="4" spans="1:5" x14ac:dyDescent="0.2">
      <c r="A4" s="124"/>
      <c r="B4" s="125"/>
      <c r="C4" s="125"/>
      <c r="D4" s="125"/>
      <c r="E4" s="126"/>
    </row>
    <row r="5" spans="1:5" x14ac:dyDescent="0.2">
      <c r="A5" s="35"/>
      <c r="B5" s="36"/>
      <c r="C5" s="37"/>
      <c r="D5" s="37"/>
      <c r="E5" s="38"/>
    </row>
    <row r="6" spans="1:5" x14ac:dyDescent="0.2">
      <c r="A6" s="127" t="s">
        <v>214</v>
      </c>
      <c r="B6" s="128"/>
      <c r="C6" s="128"/>
      <c r="D6" s="128"/>
      <c r="E6" s="129"/>
    </row>
    <row r="7" spans="1:5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5" x14ac:dyDescent="0.2">
      <c r="A8" s="60" t="s">
        <v>215</v>
      </c>
      <c r="B8" s="4"/>
      <c r="C8" s="23"/>
      <c r="D8" s="23"/>
      <c r="E8" s="23"/>
    </row>
    <row r="9" spans="1:5" x14ac:dyDescent="0.2">
      <c r="A9" s="28" t="s">
        <v>216</v>
      </c>
      <c r="B9" s="4"/>
      <c r="C9" s="23"/>
      <c r="D9" s="23"/>
      <c r="E9" s="23"/>
    </row>
    <row r="10" spans="1:5" x14ac:dyDescent="0.2">
      <c r="A10" s="28" t="s">
        <v>217</v>
      </c>
      <c r="B10" s="4"/>
      <c r="C10" s="23"/>
      <c r="D10" s="23"/>
      <c r="E10" s="23"/>
    </row>
    <row r="11" spans="1:5" x14ac:dyDescent="0.2">
      <c r="A11" s="28" t="s">
        <v>401</v>
      </c>
      <c r="B11" s="4"/>
      <c r="C11" s="23"/>
      <c r="D11" s="23"/>
      <c r="E11" s="23"/>
    </row>
    <row r="12" spans="1:5" x14ac:dyDescent="0.2">
      <c r="A12" s="28" t="s">
        <v>402</v>
      </c>
      <c r="B12" s="4"/>
      <c r="C12" s="23"/>
      <c r="D12" s="23"/>
      <c r="E12" s="23"/>
    </row>
    <row r="13" spans="1:5" x14ac:dyDescent="0.2">
      <c r="A13" s="28"/>
      <c r="B13" s="4"/>
      <c r="C13" s="23"/>
      <c r="D13" s="23"/>
      <c r="E13" s="23"/>
    </row>
    <row r="14" spans="1:5" x14ac:dyDescent="0.2">
      <c r="A14" s="28" t="s">
        <v>409</v>
      </c>
      <c r="B14" s="4" t="s">
        <v>11</v>
      </c>
      <c r="C14" s="23">
        <v>1</v>
      </c>
      <c r="D14" s="23"/>
      <c r="E14" s="23">
        <f>D14*C14</f>
        <v>0</v>
      </c>
    </row>
    <row r="15" spans="1:5" x14ac:dyDescent="0.2">
      <c r="A15" s="28"/>
      <c r="B15" s="4"/>
      <c r="C15" s="23"/>
      <c r="D15" s="23"/>
      <c r="E15" s="23"/>
    </row>
    <row r="16" spans="1:5" x14ac:dyDescent="0.2">
      <c r="A16" s="6" t="s">
        <v>218</v>
      </c>
      <c r="B16" s="4"/>
      <c r="C16" s="23"/>
      <c r="D16" s="23"/>
      <c r="E16" s="23"/>
    </row>
    <row r="17" spans="1:5" x14ac:dyDescent="0.2">
      <c r="A17" s="24" t="s">
        <v>219</v>
      </c>
      <c r="B17" s="4"/>
      <c r="C17" s="23"/>
      <c r="D17" s="23"/>
      <c r="E17" s="23"/>
    </row>
    <row r="18" spans="1:5" x14ac:dyDescent="0.2">
      <c r="A18" s="29" t="s">
        <v>220</v>
      </c>
      <c r="B18" s="4" t="s">
        <v>11</v>
      </c>
      <c r="C18" s="23">
        <v>1</v>
      </c>
      <c r="D18" s="23"/>
      <c r="E18" s="23">
        <f>D18*C18</f>
        <v>0</v>
      </c>
    </row>
    <row r="19" spans="1:5" x14ac:dyDescent="0.2">
      <c r="A19" s="29" t="s">
        <v>221</v>
      </c>
      <c r="B19" s="4" t="s">
        <v>11</v>
      </c>
      <c r="C19" s="23">
        <v>1</v>
      </c>
      <c r="D19" s="23"/>
      <c r="E19" s="23">
        <f>D19*C19</f>
        <v>0</v>
      </c>
    </row>
    <row r="20" spans="1:5" x14ac:dyDescent="0.2">
      <c r="A20" s="29"/>
      <c r="B20" s="4"/>
      <c r="C20" s="23"/>
      <c r="D20" s="23"/>
      <c r="E20" s="23"/>
    </row>
    <row r="21" spans="1:5" x14ac:dyDescent="0.2">
      <c r="A21" s="28" t="s">
        <v>222</v>
      </c>
      <c r="B21" s="4"/>
      <c r="C21" s="23"/>
      <c r="D21" s="23"/>
      <c r="E21" s="23"/>
    </row>
    <row r="22" spans="1:5" x14ac:dyDescent="0.2">
      <c r="A22" s="28" t="s">
        <v>223</v>
      </c>
      <c r="B22" s="4"/>
      <c r="C22" s="23"/>
      <c r="D22" s="23"/>
      <c r="E22" s="23"/>
    </row>
    <row r="23" spans="1:5" x14ac:dyDescent="0.2">
      <c r="A23" s="29" t="s">
        <v>224</v>
      </c>
      <c r="B23" s="112" t="s">
        <v>11</v>
      </c>
      <c r="C23" s="115">
        <v>1</v>
      </c>
      <c r="D23" s="115"/>
      <c r="E23" s="115">
        <f>C23*D23</f>
        <v>0</v>
      </c>
    </row>
    <row r="24" spans="1:5" x14ac:dyDescent="0.2">
      <c r="A24" s="29" t="s">
        <v>225</v>
      </c>
      <c r="B24" s="113"/>
      <c r="C24" s="116"/>
      <c r="D24" s="116"/>
      <c r="E24" s="116"/>
    </row>
    <row r="25" spans="1:5" x14ac:dyDescent="0.2">
      <c r="A25" s="29" t="s">
        <v>226</v>
      </c>
      <c r="B25" s="113"/>
      <c r="C25" s="116"/>
      <c r="D25" s="116"/>
      <c r="E25" s="116"/>
    </row>
    <row r="26" spans="1:5" x14ac:dyDescent="0.2">
      <c r="A26" s="29" t="s">
        <v>227</v>
      </c>
      <c r="B26" s="114"/>
      <c r="C26" s="117"/>
      <c r="D26" s="117"/>
      <c r="E26" s="117"/>
    </row>
    <row r="27" spans="1:5" x14ac:dyDescent="0.2">
      <c r="A27" s="29"/>
      <c r="B27" s="89"/>
      <c r="C27" s="90"/>
      <c r="D27" s="90"/>
      <c r="E27" s="90"/>
    </row>
    <row r="28" spans="1:5" x14ac:dyDescent="0.2">
      <c r="A28" s="29" t="s">
        <v>228</v>
      </c>
      <c r="B28" s="54" t="s">
        <v>12</v>
      </c>
      <c r="C28" s="76">
        <v>100</v>
      </c>
      <c r="D28" s="76"/>
      <c r="E28" s="76">
        <f>C28*D28</f>
        <v>0</v>
      </c>
    </row>
    <row r="29" spans="1:5" x14ac:dyDescent="0.2">
      <c r="A29" s="29"/>
      <c r="B29" s="4"/>
      <c r="C29" s="23"/>
      <c r="D29" s="23"/>
      <c r="E29" s="23"/>
    </row>
    <row r="30" spans="1:5" x14ac:dyDescent="0.2">
      <c r="A30" s="28" t="s">
        <v>229</v>
      </c>
      <c r="B30" s="4"/>
      <c r="C30" s="23"/>
      <c r="D30" s="23"/>
      <c r="E30" s="23"/>
    </row>
    <row r="31" spans="1:5" x14ac:dyDescent="0.2">
      <c r="A31" s="29" t="s">
        <v>230</v>
      </c>
      <c r="B31" s="112" t="s">
        <v>11</v>
      </c>
      <c r="C31" s="115">
        <v>1</v>
      </c>
      <c r="D31" s="115"/>
      <c r="E31" s="115">
        <f>D31*C31</f>
        <v>0</v>
      </c>
    </row>
    <row r="32" spans="1:5" x14ac:dyDescent="0.2">
      <c r="A32" s="29" t="s">
        <v>231</v>
      </c>
      <c r="B32" s="113"/>
      <c r="C32" s="116"/>
      <c r="D32" s="116"/>
      <c r="E32" s="116"/>
    </row>
    <row r="33" spans="1:5" x14ac:dyDescent="0.2">
      <c r="A33" s="29" t="s">
        <v>232</v>
      </c>
      <c r="B33" s="114"/>
      <c r="C33" s="117"/>
      <c r="D33" s="117"/>
      <c r="E33" s="117"/>
    </row>
    <row r="34" spans="1:5" x14ac:dyDescent="0.2">
      <c r="A34" s="29"/>
      <c r="B34" s="89"/>
      <c r="C34" s="90"/>
      <c r="D34" s="90"/>
      <c r="E34" s="90"/>
    </row>
    <row r="35" spans="1:5" x14ac:dyDescent="0.2">
      <c r="A35" s="28" t="s">
        <v>233</v>
      </c>
      <c r="B35" s="4"/>
      <c r="C35" s="23"/>
      <c r="D35" s="23"/>
      <c r="E35" s="23"/>
    </row>
    <row r="36" spans="1:5" x14ac:dyDescent="0.2">
      <c r="A36" s="29" t="s">
        <v>234</v>
      </c>
      <c r="B36" s="4" t="s">
        <v>13</v>
      </c>
      <c r="C36" s="23"/>
      <c r="D36" s="23"/>
      <c r="E36" s="23"/>
    </row>
    <row r="37" spans="1:5" x14ac:dyDescent="0.2">
      <c r="A37" s="28"/>
      <c r="B37" s="4"/>
      <c r="C37" s="23"/>
      <c r="D37" s="23"/>
      <c r="E37" s="23"/>
    </row>
    <row r="38" spans="1:5" x14ac:dyDescent="0.2">
      <c r="A38" s="60" t="s">
        <v>235</v>
      </c>
      <c r="B38" s="4"/>
      <c r="C38" s="23"/>
      <c r="D38" s="23"/>
      <c r="E38" s="23"/>
    </row>
    <row r="39" spans="1:5" x14ac:dyDescent="0.2">
      <c r="A39" s="28" t="s">
        <v>236</v>
      </c>
      <c r="B39" s="4" t="s">
        <v>12</v>
      </c>
      <c r="C39" s="23">
        <f>C44+C58</f>
        <v>64.5</v>
      </c>
      <c r="D39" s="23"/>
      <c r="E39" s="23">
        <f>D39*C39</f>
        <v>0</v>
      </c>
    </row>
    <row r="40" spans="1:5" x14ac:dyDescent="0.2">
      <c r="A40" s="28" t="s">
        <v>237</v>
      </c>
      <c r="B40" s="4"/>
      <c r="C40" s="23"/>
      <c r="D40" s="23"/>
      <c r="E40" s="23"/>
    </row>
    <row r="41" spans="1:5" x14ac:dyDescent="0.2">
      <c r="A41" s="29" t="s">
        <v>238</v>
      </c>
      <c r="B41" s="4" t="s">
        <v>269</v>
      </c>
      <c r="C41" s="23"/>
      <c r="D41" s="23"/>
      <c r="E41" s="23"/>
    </row>
    <row r="42" spans="1:5" x14ac:dyDescent="0.2">
      <c r="A42" s="29"/>
      <c r="B42" s="4"/>
      <c r="C42" s="23"/>
      <c r="D42" s="23"/>
      <c r="E42" s="23"/>
    </row>
    <row r="43" spans="1:5" x14ac:dyDescent="0.2">
      <c r="A43" s="28" t="s">
        <v>239</v>
      </c>
      <c r="B43" s="4"/>
      <c r="C43" s="23"/>
      <c r="D43" s="23"/>
      <c r="E43" s="23"/>
    </row>
    <row r="44" spans="1:5" x14ac:dyDescent="0.2">
      <c r="A44" s="29" t="s">
        <v>240</v>
      </c>
      <c r="B44" s="4" t="s">
        <v>12</v>
      </c>
      <c r="C44" s="23">
        <f>12*2+6.3+7.2+4.5+4+5+7+4.5</f>
        <v>62.5</v>
      </c>
      <c r="D44" s="23"/>
      <c r="E44" s="23">
        <f>D44*C44</f>
        <v>0</v>
      </c>
    </row>
    <row r="45" spans="1:5" x14ac:dyDescent="0.2">
      <c r="A45" s="29"/>
      <c r="B45" s="4"/>
      <c r="C45" s="23"/>
      <c r="D45" s="23"/>
      <c r="E45" s="23"/>
    </row>
    <row r="46" spans="1:5" x14ac:dyDescent="0.2">
      <c r="A46" s="26" t="s">
        <v>440</v>
      </c>
      <c r="B46" s="4"/>
      <c r="C46" s="23"/>
      <c r="D46" s="23"/>
      <c r="E46" s="23"/>
    </row>
    <row r="47" spans="1:5" x14ac:dyDescent="0.2">
      <c r="A47" s="26" t="s">
        <v>441</v>
      </c>
      <c r="B47" s="4" t="s">
        <v>10</v>
      </c>
      <c r="C47" s="23">
        <v>7</v>
      </c>
      <c r="D47" s="23"/>
      <c r="E47" s="23">
        <f>D47*C47</f>
        <v>0</v>
      </c>
    </row>
    <row r="48" spans="1:5" x14ac:dyDescent="0.2">
      <c r="A48" s="26" t="s">
        <v>442</v>
      </c>
      <c r="B48" s="4" t="s">
        <v>10</v>
      </c>
      <c r="C48" s="23">
        <v>2</v>
      </c>
      <c r="D48" s="23"/>
      <c r="E48" s="23">
        <f>D48*C48</f>
        <v>0</v>
      </c>
    </row>
    <row r="49" spans="1:5" x14ac:dyDescent="0.2">
      <c r="A49" s="68" t="s">
        <v>443</v>
      </c>
      <c r="B49" s="4"/>
      <c r="C49" s="23"/>
      <c r="D49" s="23"/>
      <c r="E49" s="23"/>
    </row>
    <row r="50" spans="1:5" x14ac:dyDescent="0.2">
      <c r="A50" s="25"/>
      <c r="B50" s="4"/>
      <c r="C50" s="23"/>
      <c r="D50" s="23"/>
      <c r="E50" s="23"/>
    </row>
    <row r="51" spans="1:5" x14ac:dyDescent="0.2">
      <c r="A51" s="28" t="s">
        <v>241</v>
      </c>
      <c r="B51" s="4"/>
      <c r="C51" s="23"/>
      <c r="D51" s="23"/>
      <c r="E51" s="23"/>
    </row>
    <row r="52" spans="1:5" x14ac:dyDescent="0.2">
      <c r="A52" s="29" t="s">
        <v>444</v>
      </c>
      <c r="B52" s="4" t="s">
        <v>12</v>
      </c>
      <c r="C52" s="23">
        <v>3</v>
      </c>
      <c r="D52" s="23"/>
      <c r="E52" s="23">
        <f>D52*C52</f>
        <v>0</v>
      </c>
    </row>
    <row r="53" spans="1:5" x14ac:dyDescent="0.2">
      <c r="A53" s="28"/>
      <c r="B53" s="4"/>
      <c r="C53" s="23"/>
      <c r="D53" s="23"/>
      <c r="E53" s="23"/>
    </row>
    <row r="54" spans="1:5" x14ac:dyDescent="0.2">
      <c r="A54" s="28" t="s">
        <v>242</v>
      </c>
      <c r="B54" s="4"/>
      <c r="C54" s="23"/>
      <c r="D54" s="23"/>
      <c r="E54" s="23"/>
    </row>
    <row r="55" spans="1:5" x14ac:dyDescent="0.2">
      <c r="A55" s="29" t="s">
        <v>243</v>
      </c>
      <c r="B55" s="4"/>
      <c r="C55" s="23"/>
      <c r="D55" s="23"/>
      <c r="E55" s="23"/>
    </row>
    <row r="56" spans="1:5" x14ac:dyDescent="0.2">
      <c r="A56" s="52" t="s">
        <v>244</v>
      </c>
      <c r="B56" s="4"/>
      <c r="C56" s="23"/>
      <c r="D56" s="23"/>
      <c r="E56" s="23"/>
    </row>
    <row r="57" spans="1:5" x14ac:dyDescent="0.2">
      <c r="A57" s="30" t="s">
        <v>245</v>
      </c>
      <c r="B57" s="4"/>
      <c r="C57" s="23"/>
      <c r="D57" s="23"/>
      <c r="E57" s="23"/>
    </row>
    <row r="58" spans="1:5" x14ac:dyDescent="0.2">
      <c r="A58" s="163" t="s">
        <v>445</v>
      </c>
      <c r="B58" s="4" t="s">
        <v>12</v>
      </c>
      <c r="C58" s="23">
        <v>2</v>
      </c>
      <c r="D58" s="23"/>
      <c r="E58" s="23">
        <f>D58*C58</f>
        <v>0</v>
      </c>
    </row>
    <row r="59" spans="1:5" x14ac:dyDescent="0.2">
      <c r="A59" s="163" t="s">
        <v>453</v>
      </c>
      <c r="B59" s="4" t="s">
        <v>12</v>
      </c>
      <c r="C59" s="23">
        <v>6</v>
      </c>
      <c r="D59" s="23"/>
      <c r="E59" s="23">
        <f>D59*C59</f>
        <v>0</v>
      </c>
    </row>
    <row r="60" spans="1:5" x14ac:dyDescent="0.2">
      <c r="A60" s="164" t="s">
        <v>454</v>
      </c>
      <c r="B60" s="4" t="s">
        <v>12</v>
      </c>
      <c r="C60" s="23">
        <v>2</v>
      </c>
      <c r="D60" s="23"/>
      <c r="E60" s="23">
        <f>D60*C60</f>
        <v>0</v>
      </c>
    </row>
    <row r="61" spans="1:5" x14ac:dyDescent="0.2">
      <c r="A61" s="30" t="s">
        <v>456</v>
      </c>
      <c r="B61" s="4" t="s">
        <v>11</v>
      </c>
      <c r="C61" s="23">
        <v>1</v>
      </c>
      <c r="D61" s="23"/>
      <c r="E61" s="23">
        <f>D61*C61</f>
        <v>0</v>
      </c>
    </row>
    <row r="62" spans="1:5" x14ac:dyDescent="0.2">
      <c r="A62" s="29"/>
      <c r="B62" s="4"/>
      <c r="C62" s="23"/>
      <c r="D62" s="23"/>
      <c r="E62" s="23"/>
    </row>
    <row r="63" spans="1:5" x14ac:dyDescent="0.2">
      <c r="A63" s="29" t="s">
        <v>246</v>
      </c>
      <c r="B63" s="4"/>
      <c r="C63" s="23"/>
      <c r="D63" s="23"/>
      <c r="E63" s="23"/>
    </row>
    <row r="64" spans="1:5" x14ac:dyDescent="0.2">
      <c r="A64" s="52" t="s">
        <v>244</v>
      </c>
      <c r="B64" s="4"/>
      <c r="C64" s="23"/>
      <c r="D64" s="23"/>
      <c r="E64" s="23"/>
    </row>
    <row r="65" spans="1:6" x14ac:dyDescent="0.2">
      <c r="A65" s="29" t="s">
        <v>446</v>
      </c>
      <c r="B65" s="4" t="s">
        <v>12</v>
      </c>
      <c r="C65" s="23">
        <v>2</v>
      </c>
      <c r="D65" s="23"/>
      <c r="E65" s="23">
        <f>D65*C65</f>
        <v>0</v>
      </c>
    </row>
    <row r="66" spans="1:6" x14ac:dyDescent="0.2">
      <c r="A66" s="30"/>
      <c r="B66" s="4"/>
      <c r="C66" s="23"/>
      <c r="D66" s="23"/>
      <c r="E66" s="23"/>
    </row>
    <row r="67" spans="1:6" x14ac:dyDescent="0.2">
      <c r="A67" s="29" t="s">
        <v>247</v>
      </c>
      <c r="B67" s="4" t="s">
        <v>12</v>
      </c>
      <c r="C67" s="23">
        <v>2</v>
      </c>
      <c r="D67" s="23"/>
      <c r="E67" s="23">
        <f>D67*C67</f>
        <v>0</v>
      </c>
    </row>
    <row r="68" spans="1:6" x14ac:dyDescent="0.2">
      <c r="A68" s="29" t="s">
        <v>248</v>
      </c>
      <c r="B68" s="4"/>
      <c r="C68" s="23"/>
      <c r="D68" s="23"/>
      <c r="E68" s="23"/>
    </row>
    <row r="69" spans="1:6" x14ac:dyDescent="0.2">
      <c r="A69" s="52" t="s">
        <v>244</v>
      </c>
      <c r="B69" s="4"/>
      <c r="C69" s="23"/>
      <c r="D69" s="23"/>
      <c r="E69" s="23"/>
    </row>
    <row r="70" spans="1:6" x14ac:dyDescent="0.2">
      <c r="A70" s="30" t="s">
        <v>455</v>
      </c>
      <c r="B70" s="4" t="s">
        <v>11</v>
      </c>
      <c r="C70" s="23">
        <v>1</v>
      </c>
      <c r="D70" s="23"/>
      <c r="E70" s="23">
        <f>D70*C70</f>
        <v>0</v>
      </c>
    </row>
    <row r="71" spans="1:6" x14ac:dyDescent="0.2">
      <c r="A71" s="28"/>
      <c r="B71" s="4"/>
      <c r="C71" s="23"/>
      <c r="D71" s="23"/>
      <c r="E71" s="23"/>
    </row>
    <row r="72" spans="1:6" x14ac:dyDescent="0.2">
      <c r="A72" s="60" t="s">
        <v>249</v>
      </c>
      <c r="B72" s="4"/>
      <c r="C72" s="23"/>
      <c r="D72" s="23"/>
      <c r="E72" s="23"/>
    </row>
    <row r="73" spans="1:6" s="3" customFormat="1" ht="16.5" x14ac:dyDescent="0.2">
      <c r="A73" s="72" t="s">
        <v>250</v>
      </c>
      <c r="B73" s="21" t="s">
        <v>266</v>
      </c>
      <c r="C73" s="27">
        <v>28</v>
      </c>
      <c r="D73" s="27"/>
      <c r="E73" s="27">
        <f>D73*C73</f>
        <v>0</v>
      </c>
    </row>
    <row r="74" spans="1:6" hidden="1" x14ac:dyDescent="0.2">
      <c r="A74" s="28"/>
      <c r="B74" s="4"/>
      <c r="C74" s="23"/>
      <c r="D74" s="23"/>
      <c r="E74" s="23"/>
    </row>
    <row r="75" spans="1:6" ht="16.5" x14ac:dyDescent="0.2">
      <c r="A75" s="28" t="s">
        <v>251</v>
      </c>
      <c r="B75" s="4" t="s">
        <v>266</v>
      </c>
      <c r="C75" s="23">
        <v>13.58</v>
      </c>
      <c r="D75" s="23"/>
      <c r="E75" s="23">
        <f>D75*C75</f>
        <v>0</v>
      </c>
    </row>
    <row r="76" spans="1:6" hidden="1" x14ac:dyDescent="0.2">
      <c r="A76" s="28"/>
      <c r="B76" s="4"/>
      <c r="C76" s="23"/>
      <c r="D76" s="23"/>
      <c r="E76" s="23"/>
    </row>
    <row r="77" spans="1:6" x14ac:dyDescent="0.2">
      <c r="A77" s="28" t="s">
        <v>252</v>
      </c>
      <c r="B77" s="4"/>
      <c r="C77" s="23"/>
      <c r="D77" s="23"/>
      <c r="E77" s="23"/>
    </row>
    <row r="78" spans="1:6" s="3" customFormat="1" ht="16.5" x14ac:dyDescent="0.2">
      <c r="A78" s="73" t="s">
        <v>253</v>
      </c>
      <c r="B78" s="21" t="s">
        <v>266</v>
      </c>
      <c r="C78" s="27">
        <v>5.44</v>
      </c>
      <c r="D78" s="27"/>
      <c r="E78" s="27">
        <f>D78*C78</f>
        <v>0</v>
      </c>
    </row>
    <row r="79" spans="1:6" x14ac:dyDescent="0.2">
      <c r="A79" s="29" t="s">
        <v>254</v>
      </c>
      <c r="B79" s="4" t="s">
        <v>9</v>
      </c>
      <c r="C79" s="23">
        <v>15.5</v>
      </c>
      <c r="D79" s="23"/>
      <c r="E79" s="23">
        <f>D79*C79</f>
        <v>0</v>
      </c>
    </row>
    <row r="80" spans="1:6" x14ac:dyDescent="0.2">
      <c r="A80" s="29" t="s">
        <v>255</v>
      </c>
      <c r="B80" s="4" t="s">
        <v>268</v>
      </c>
      <c r="C80" s="23">
        <v>190</v>
      </c>
      <c r="D80" s="23"/>
      <c r="E80" s="23">
        <f>D80*C80</f>
        <v>0</v>
      </c>
      <c r="F80" s="23">
        <v>190.12</v>
      </c>
    </row>
    <row r="81" spans="1:5" x14ac:dyDescent="0.2">
      <c r="A81" s="29"/>
      <c r="B81" s="4"/>
      <c r="C81" s="23"/>
      <c r="D81" s="23"/>
      <c r="E81" s="23"/>
    </row>
    <row r="82" spans="1:5" x14ac:dyDescent="0.2">
      <c r="A82" s="28" t="s">
        <v>256</v>
      </c>
      <c r="B82" s="4"/>
      <c r="C82" s="23"/>
      <c r="D82" s="23"/>
      <c r="E82" s="23"/>
    </row>
    <row r="83" spans="1:5" s="3" customFormat="1" ht="16.5" x14ac:dyDescent="0.2">
      <c r="A83" s="73" t="s">
        <v>257</v>
      </c>
      <c r="B83" s="21" t="s">
        <v>266</v>
      </c>
      <c r="C83" s="27">
        <v>10.4</v>
      </c>
      <c r="D83" s="27"/>
      <c r="E83" s="27">
        <f>D83*C83</f>
        <v>0</v>
      </c>
    </row>
    <row r="84" spans="1:5" ht="16.5" x14ac:dyDescent="0.2">
      <c r="A84" s="73" t="s">
        <v>258</v>
      </c>
      <c r="B84" s="4" t="s">
        <v>266</v>
      </c>
      <c r="C84" s="23">
        <v>4.1500000000000004</v>
      </c>
      <c r="D84" s="23"/>
      <c r="E84" s="23">
        <f>D84*C84</f>
        <v>0</v>
      </c>
    </row>
    <row r="85" spans="1:5" x14ac:dyDescent="0.2">
      <c r="A85" s="29" t="s">
        <v>259</v>
      </c>
      <c r="B85" s="4" t="s">
        <v>9</v>
      </c>
      <c r="C85" s="23">
        <v>41.5</v>
      </c>
      <c r="D85" s="23"/>
      <c r="E85" s="23">
        <f>D85*C85</f>
        <v>0</v>
      </c>
    </row>
    <row r="86" spans="1:5" x14ac:dyDescent="0.2">
      <c r="A86" s="29" t="s">
        <v>260</v>
      </c>
      <c r="B86" s="4" t="s">
        <v>268</v>
      </c>
      <c r="C86" s="23">
        <v>398</v>
      </c>
      <c r="D86" s="23"/>
      <c r="E86" s="23">
        <f>D86*C86</f>
        <v>0</v>
      </c>
    </row>
    <row r="87" spans="1:5" x14ac:dyDescent="0.2">
      <c r="A87" s="29"/>
      <c r="B87" s="4"/>
      <c r="C87" s="23"/>
      <c r="D87" s="23"/>
      <c r="E87" s="23"/>
    </row>
    <row r="88" spans="1:5" x14ac:dyDescent="0.2">
      <c r="A88" s="28" t="s">
        <v>261</v>
      </c>
      <c r="B88" s="4" t="s">
        <v>10</v>
      </c>
      <c r="C88" s="23">
        <v>10</v>
      </c>
      <c r="D88" s="23"/>
      <c r="E88" s="23">
        <f>D88*C88</f>
        <v>0</v>
      </c>
    </row>
    <row r="89" spans="1:5" x14ac:dyDescent="0.2">
      <c r="A89" s="28"/>
      <c r="B89" s="4"/>
      <c r="C89" s="23"/>
      <c r="D89" s="23"/>
      <c r="E89" s="23"/>
    </row>
    <row r="90" spans="1:5" x14ac:dyDescent="0.2">
      <c r="A90" s="28" t="s">
        <v>262</v>
      </c>
      <c r="B90" s="4" t="s">
        <v>12</v>
      </c>
      <c r="C90" s="23">
        <f>20.6+12.3</f>
        <v>32.900000000000006</v>
      </c>
      <c r="D90" s="23"/>
      <c r="E90" s="23">
        <f>D90*C90</f>
        <v>0</v>
      </c>
    </row>
    <row r="91" spans="1:5" x14ac:dyDescent="0.2">
      <c r="A91" s="4"/>
      <c r="B91" s="4"/>
      <c r="C91" s="23"/>
      <c r="D91" s="23"/>
      <c r="E91" s="23"/>
    </row>
    <row r="92" spans="1:5" x14ac:dyDescent="0.2">
      <c r="A92" s="60" t="s">
        <v>263</v>
      </c>
      <c r="B92" s="4" t="s">
        <v>9</v>
      </c>
      <c r="C92" s="154">
        <v>234</v>
      </c>
      <c r="D92" s="23"/>
      <c r="E92" s="23">
        <f>D92*C92</f>
        <v>0</v>
      </c>
    </row>
    <row r="93" spans="1:5" x14ac:dyDescent="0.2">
      <c r="A93" s="28" t="s">
        <v>391</v>
      </c>
      <c r="B93" s="4" t="s">
        <v>9</v>
      </c>
      <c r="C93" s="76">
        <v>234</v>
      </c>
      <c r="D93" s="23"/>
      <c r="E93" s="23">
        <f>D93*C93</f>
        <v>0</v>
      </c>
    </row>
    <row r="94" spans="1:5" x14ac:dyDescent="0.2">
      <c r="A94" s="28" t="s">
        <v>392</v>
      </c>
      <c r="B94" s="4" t="s">
        <v>9</v>
      </c>
      <c r="C94" s="23">
        <f>4.7*2+8.4</f>
        <v>17.8</v>
      </c>
      <c r="D94" s="23"/>
      <c r="E94" s="23">
        <f>D94*C94</f>
        <v>0</v>
      </c>
    </row>
    <row r="95" spans="1:5" x14ac:dyDescent="0.2">
      <c r="A95" s="4"/>
      <c r="B95" s="4"/>
      <c r="C95" s="23"/>
      <c r="D95" s="23"/>
      <c r="E95" s="23"/>
    </row>
    <row r="96" spans="1:5" s="3" customFormat="1" ht="30" customHeight="1" x14ac:dyDescent="0.2">
      <c r="A96" s="55" t="s">
        <v>264</v>
      </c>
      <c r="B96" s="55"/>
      <c r="C96" s="53"/>
      <c r="D96" s="53"/>
      <c r="E96" s="53">
        <f>SUM(E8:E95)</f>
        <v>0</v>
      </c>
    </row>
    <row r="97" spans="1:5" s="3" customFormat="1" ht="30" customHeight="1" x14ac:dyDescent="0.2">
      <c r="A97" s="55" t="s">
        <v>23</v>
      </c>
      <c r="B97" s="55"/>
      <c r="C97" s="53"/>
      <c r="D97" s="53"/>
      <c r="E97" s="53">
        <f>E96*20%</f>
        <v>0</v>
      </c>
    </row>
    <row r="98" spans="1:5" s="3" customFormat="1" ht="30" customHeight="1" x14ac:dyDescent="0.2">
      <c r="A98" s="55" t="s">
        <v>265</v>
      </c>
      <c r="B98" s="55"/>
      <c r="C98" s="53"/>
      <c r="D98" s="53"/>
      <c r="E98" s="53">
        <f>SUM(E96:E97)</f>
        <v>0</v>
      </c>
    </row>
    <row r="99" spans="1:5" ht="112.5" customHeight="1" x14ac:dyDescent="0.2">
      <c r="A99" s="165" t="s">
        <v>458</v>
      </c>
      <c r="B99" s="166"/>
      <c r="C99" s="166"/>
      <c r="D99" s="166"/>
      <c r="E99" s="167"/>
    </row>
  </sheetData>
  <mergeCells count="12">
    <mergeCell ref="A99:E99"/>
    <mergeCell ref="B31:B33"/>
    <mergeCell ref="C31:C33"/>
    <mergeCell ref="D31:D33"/>
    <mergeCell ref="E31:E33"/>
    <mergeCell ref="A1:E2"/>
    <mergeCell ref="A3:E4"/>
    <mergeCell ref="C23:C26"/>
    <mergeCell ref="B23:B26"/>
    <mergeCell ref="D23:D26"/>
    <mergeCell ref="E23:E26"/>
    <mergeCell ref="A6:E6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285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2" zoomScaleNormal="100" zoomScaleSheetLayoutView="100" workbookViewId="0">
      <selection activeCell="G31" sqref="G31"/>
    </sheetView>
  </sheetViews>
  <sheetFormatPr baseColWidth="10" defaultRowHeight="14.25" x14ac:dyDescent="0.2"/>
  <cols>
    <col min="1" max="1" width="59.625" style="16" customWidth="1"/>
    <col min="2" max="2" width="3.625" customWidth="1"/>
    <col min="3" max="3" width="8.5" style="2" bestFit="1" customWidth="1"/>
    <col min="4" max="4" width="8.875" style="2" bestFit="1" customWidth="1"/>
    <col min="5" max="5" width="12.5" style="2" bestFit="1" customWidth="1"/>
  </cols>
  <sheetData>
    <row r="1" spans="1:7" x14ac:dyDescent="0.2">
      <c r="A1" s="118" t="s">
        <v>7</v>
      </c>
      <c r="B1" s="119"/>
      <c r="C1" s="119"/>
      <c r="D1" s="119"/>
      <c r="E1" s="120"/>
    </row>
    <row r="2" spans="1:7" x14ac:dyDescent="0.2">
      <c r="A2" s="121"/>
      <c r="B2" s="122"/>
      <c r="C2" s="122"/>
      <c r="D2" s="122"/>
      <c r="E2" s="123"/>
    </row>
    <row r="3" spans="1:7" x14ac:dyDescent="0.2">
      <c r="A3" s="124" t="s">
        <v>4</v>
      </c>
      <c r="B3" s="125"/>
      <c r="C3" s="125"/>
      <c r="D3" s="125"/>
      <c r="E3" s="126"/>
    </row>
    <row r="4" spans="1:7" x14ac:dyDescent="0.2">
      <c r="A4" s="124"/>
      <c r="B4" s="125"/>
      <c r="C4" s="125"/>
      <c r="D4" s="125"/>
      <c r="E4" s="126"/>
    </row>
    <row r="5" spans="1:7" x14ac:dyDescent="0.2">
      <c r="A5" s="74"/>
      <c r="B5" s="40"/>
      <c r="C5" s="41"/>
      <c r="D5" s="41"/>
      <c r="E5" s="42"/>
    </row>
    <row r="6" spans="1:7" x14ac:dyDescent="0.2">
      <c r="A6" s="130" t="s">
        <v>38</v>
      </c>
      <c r="B6" s="131"/>
      <c r="C6" s="131"/>
      <c r="D6" s="131"/>
      <c r="E6" s="132"/>
    </row>
    <row r="7" spans="1:7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7" x14ac:dyDescent="0.2">
      <c r="A8" s="95" t="s">
        <v>403</v>
      </c>
      <c r="B8" s="18"/>
      <c r="C8" s="22"/>
      <c r="D8" s="22"/>
      <c r="E8" s="22"/>
    </row>
    <row r="9" spans="1:7" x14ac:dyDescent="0.2">
      <c r="A9" s="96" t="s">
        <v>404</v>
      </c>
      <c r="B9" s="97" t="s">
        <v>13</v>
      </c>
      <c r="C9" s="22"/>
      <c r="D9" s="22"/>
      <c r="E9" s="22"/>
    </row>
    <row r="10" spans="1:7" x14ac:dyDescent="0.2">
      <c r="A10" s="96" t="s">
        <v>405</v>
      </c>
      <c r="B10" s="97" t="s">
        <v>13</v>
      </c>
      <c r="C10" s="22"/>
      <c r="D10" s="22"/>
      <c r="E10" s="22"/>
    </row>
    <row r="11" spans="1:7" x14ac:dyDescent="0.2">
      <c r="A11" s="96" t="s">
        <v>406</v>
      </c>
      <c r="B11" s="97" t="s">
        <v>13</v>
      </c>
      <c r="C11" s="22"/>
      <c r="D11" s="22"/>
      <c r="E11" s="22"/>
    </row>
    <row r="12" spans="1:7" x14ac:dyDescent="0.2">
      <c r="A12" s="96" t="s">
        <v>407</v>
      </c>
      <c r="B12" s="97" t="s">
        <v>13</v>
      </c>
      <c r="C12" s="22"/>
      <c r="D12" s="22"/>
      <c r="E12" s="22"/>
    </row>
    <row r="13" spans="1:7" x14ac:dyDescent="0.2">
      <c r="A13" s="95"/>
      <c r="B13" s="18"/>
      <c r="C13" s="22"/>
      <c r="D13" s="22"/>
      <c r="E13" s="22"/>
    </row>
    <row r="14" spans="1:7" x14ac:dyDescent="0.2">
      <c r="A14" s="6" t="s">
        <v>24</v>
      </c>
      <c r="B14" s="4"/>
      <c r="C14" s="23"/>
      <c r="D14" s="23"/>
      <c r="E14" s="23"/>
    </row>
    <row r="15" spans="1:7" x14ac:dyDescent="0.2">
      <c r="A15" s="24" t="s">
        <v>25</v>
      </c>
      <c r="B15" s="4" t="s">
        <v>11</v>
      </c>
      <c r="C15" s="23">
        <v>1</v>
      </c>
      <c r="D15" s="23"/>
      <c r="E15" s="23">
        <f>D15*C15</f>
        <v>0</v>
      </c>
      <c r="G15">
        <f>38.5*2+77.91+45.24</f>
        <v>200.15</v>
      </c>
    </row>
    <row r="16" spans="1:7" x14ac:dyDescent="0.2">
      <c r="A16" s="24" t="s">
        <v>26</v>
      </c>
      <c r="B16" s="4" t="s">
        <v>11</v>
      </c>
      <c r="C16" s="23">
        <v>1</v>
      </c>
      <c r="D16" s="23"/>
      <c r="E16" s="23">
        <f>D16*C16</f>
        <v>0</v>
      </c>
    </row>
    <row r="17" spans="1:9" x14ac:dyDescent="0.2">
      <c r="A17" s="19"/>
      <c r="B17" s="4"/>
      <c r="C17" s="23"/>
      <c r="D17" s="23"/>
      <c r="E17" s="23"/>
    </row>
    <row r="18" spans="1:9" x14ac:dyDescent="0.2">
      <c r="A18" s="6" t="s">
        <v>27</v>
      </c>
      <c r="B18" s="4" t="s">
        <v>9</v>
      </c>
      <c r="C18" s="23">
        <v>235</v>
      </c>
      <c r="D18" s="23"/>
      <c r="E18" s="23">
        <f>D18*C18</f>
        <v>0</v>
      </c>
    </row>
    <row r="19" spans="1:9" ht="28.5" x14ac:dyDescent="0.2">
      <c r="A19" s="24" t="s">
        <v>28</v>
      </c>
      <c r="B19" s="21" t="s">
        <v>11</v>
      </c>
      <c r="C19" s="27">
        <v>1</v>
      </c>
      <c r="D19" s="27"/>
      <c r="E19" s="27">
        <f>D19*C19</f>
        <v>0</v>
      </c>
    </row>
    <row r="20" spans="1:9" x14ac:dyDescent="0.2">
      <c r="A20" s="19"/>
      <c r="B20" s="4"/>
      <c r="C20" s="23"/>
      <c r="D20" s="23"/>
      <c r="E20" s="23"/>
    </row>
    <row r="21" spans="1:9" x14ac:dyDescent="0.2">
      <c r="A21" s="6" t="s">
        <v>29</v>
      </c>
      <c r="B21" s="4"/>
      <c r="C21" s="23"/>
      <c r="D21" s="23"/>
      <c r="E21" s="23"/>
    </row>
    <row r="22" spans="1:9" x14ac:dyDescent="0.2">
      <c r="A22" s="24" t="s">
        <v>368</v>
      </c>
      <c r="B22" s="4"/>
      <c r="C22" s="23"/>
      <c r="D22" s="23"/>
      <c r="E22" s="23"/>
    </row>
    <row r="23" spans="1:9" x14ac:dyDescent="0.2">
      <c r="A23" s="25" t="s">
        <v>369</v>
      </c>
      <c r="B23" s="4"/>
      <c r="C23" s="23"/>
      <c r="D23" s="23"/>
      <c r="E23" s="23"/>
    </row>
    <row r="24" spans="1:9" x14ac:dyDescent="0.2">
      <c r="A24" s="26" t="s">
        <v>410</v>
      </c>
      <c r="B24" s="4" t="s">
        <v>10</v>
      </c>
      <c r="C24" s="23">
        <v>1</v>
      </c>
      <c r="D24" s="23"/>
      <c r="E24" s="23">
        <f>D24*C24</f>
        <v>0</v>
      </c>
    </row>
    <row r="25" spans="1:9" x14ac:dyDescent="0.2">
      <c r="A25" s="68" t="s">
        <v>30</v>
      </c>
      <c r="B25" s="4"/>
      <c r="C25" s="23"/>
      <c r="D25" s="23"/>
      <c r="E25" s="23"/>
      <c r="I25" t="s">
        <v>8</v>
      </c>
    </row>
    <row r="26" spans="1:9" x14ac:dyDescent="0.2">
      <c r="A26" s="68"/>
      <c r="B26" s="4"/>
      <c r="C26" s="23"/>
      <c r="D26" s="23"/>
      <c r="E26" s="23"/>
    </row>
    <row r="27" spans="1:9" x14ac:dyDescent="0.2">
      <c r="A27" s="150" t="s">
        <v>432</v>
      </c>
      <c r="B27" s="4" t="s">
        <v>10</v>
      </c>
      <c r="C27" s="23">
        <v>1</v>
      </c>
      <c r="D27" s="23"/>
      <c r="E27" s="23">
        <f>D27*C27</f>
        <v>0</v>
      </c>
    </row>
    <row r="28" spans="1:9" x14ac:dyDescent="0.2">
      <c r="A28" s="68" t="s">
        <v>30</v>
      </c>
      <c r="B28" s="4"/>
      <c r="C28" s="23"/>
      <c r="D28" s="23"/>
      <c r="E28" s="23"/>
    </row>
    <row r="30" spans="1:9" s="3" customFormat="1" ht="30" customHeight="1" x14ac:dyDescent="0.2">
      <c r="A30" s="56" t="s">
        <v>37</v>
      </c>
      <c r="B30" s="21"/>
      <c r="C30" s="27"/>
      <c r="D30" s="27"/>
      <c r="E30" s="53">
        <f>SUM(E15:E29)</f>
        <v>0</v>
      </c>
    </row>
    <row r="31" spans="1:9" s="3" customFormat="1" ht="30" customHeight="1" x14ac:dyDescent="0.2">
      <c r="A31" s="55" t="s">
        <v>23</v>
      </c>
      <c r="B31" s="21"/>
      <c r="C31" s="27"/>
      <c r="D31" s="27"/>
      <c r="E31" s="53">
        <f>E30*20%</f>
        <v>0</v>
      </c>
    </row>
    <row r="32" spans="1:9" s="3" customFormat="1" ht="30" customHeight="1" x14ac:dyDescent="0.2">
      <c r="A32" s="55" t="s">
        <v>327</v>
      </c>
      <c r="B32" s="21"/>
      <c r="C32" s="27"/>
      <c r="D32" s="27"/>
      <c r="E32" s="53">
        <f>E30+E31</f>
        <v>0</v>
      </c>
    </row>
    <row r="33" spans="1:5" x14ac:dyDescent="0.2">
      <c r="A33" s="1"/>
      <c r="E33" s="15"/>
    </row>
    <row r="34" spans="1:5" x14ac:dyDescent="0.2">
      <c r="A34" s="6" t="s">
        <v>31</v>
      </c>
      <c r="B34" s="4"/>
      <c r="C34" s="23"/>
      <c r="D34" s="23"/>
      <c r="E34" s="23"/>
    </row>
    <row r="35" spans="1:5" x14ac:dyDescent="0.2">
      <c r="A35" s="67" t="s">
        <v>348</v>
      </c>
      <c r="B35" s="12" t="s">
        <v>9</v>
      </c>
      <c r="C35" s="13">
        <f>1.3*8.1</f>
        <v>10.53</v>
      </c>
      <c r="D35" s="13"/>
      <c r="E35" s="13">
        <f>C35*D35</f>
        <v>0</v>
      </c>
    </row>
    <row r="36" spans="1:5" x14ac:dyDescent="0.2">
      <c r="A36" s="20" t="s">
        <v>32</v>
      </c>
      <c r="B36" s="4"/>
      <c r="C36" s="23"/>
      <c r="D36" s="23"/>
      <c r="E36" s="23"/>
    </row>
    <row r="37" spans="1:5" ht="28.5" x14ac:dyDescent="0.2">
      <c r="A37" s="6" t="s">
        <v>349</v>
      </c>
      <c r="B37" s="4"/>
      <c r="C37" s="23"/>
      <c r="D37" s="23"/>
      <c r="E37" s="53">
        <f>E35</f>
        <v>0</v>
      </c>
    </row>
    <row r="38" spans="1:5" s="3" customFormat="1" ht="30" customHeight="1" x14ac:dyDescent="0.2">
      <c r="A38" s="55" t="s">
        <v>23</v>
      </c>
      <c r="B38" s="21"/>
      <c r="C38" s="27"/>
      <c r="D38" s="27"/>
      <c r="E38" s="53">
        <f>E37*20%</f>
        <v>0</v>
      </c>
    </row>
    <row r="39" spans="1:5" s="3" customFormat="1" ht="30" customHeight="1" x14ac:dyDescent="0.2">
      <c r="A39" s="56" t="s">
        <v>350</v>
      </c>
      <c r="B39" s="21"/>
      <c r="C39" s="27"/>
      <c r="D39" s="27"/>
      <c r="E39" s="53">
        <f>E37+E38</f>
        <v>0</v>
      </c>
    </row>
    <row r="40" spans="1:5" ht="112.5" customHeight="1" x14ac:dyDescent="0.2">
      <c r="A40" s="165" t="s">
        <v>458</v>
      </c>
      <c r="B40" s="166"/>
      <c r="C40" s="166"/>
      <c r="D40" s="166"/>
      <c r="E40" s="167"/>
    </row>
  </sheetData>
  <mergeCells count="4">
    <mergeCell ref="A1:E2"/>
    <mergeCell ref="A3:E4"/>
    <mergeCell ref="A6:E6"/>
    <mergeCell ref="A40:E40"/>
  </mergeCells>
  <pageMargins left="0.7" right="0.7" top="0.75" bottom="0.75" header="0.3" footer="0.3"/>
  <pageSetup paperSize="9" scale="86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G32" sqref="G32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286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topLeftCell="A52" zoomScale="87" zoomScaleNormal="100" zoomScaleSheetLayoutView="87" workbookViewId="0">
      <selection activeCell="G78" sqref="G78"/>
    </sheetView>
  </sheetViews>
  <sheetFormatPr baseColWidth="10" defaultRowHeight="14.25" x14ac:dyDescent="0.2"/>
  <cols>
    <col min="1" max="1" width="59.625" customWidth="1"/>
    <col min="2" max="2" width="3.625" bestFit="1" customWidth="1"/>
    <col min="3" max="3" width="8.5" style="2" bestFit="1" customWidth="1"/>
    <col min="4" max="4" width="8.875" style="2" bestFit="1" customWidth="1"/>
    <col min="5" max="5" width="12.5" style="2" bestFit="1" customWidth="1"/>
    <col min="6" max="6" width="12.375" customWidth="1"/>
  </cols>
  <sheetData>
    <row r="1" spans="1:6" x14ac:dyDescent="0.2">
      <c r="A1" s="118" t="s">
        <v>7</v>
      </c>
      <c r="B1" s="119"/>
      <c r="C1" s="119"/>
      <c r="D1" s="119"/>
      <c r="E1" s="120"/>
    </row>
    <row r="2" spans="1:6" x14ac:dyDescent="0.2">
      <c r="A2" s="121"/>
      <c r="B2" s="122"/>
      <c r="C2" s="122"/>
      <c r="D2" s="122"/>
      <c r="E2" s="123"/>
    </row>
    <row r="3" spans="1:6" x14ac:dyDescent="0.2">
      <c r="A3" s="124" t="s">
        <v>4</v>
      </c>
      <c r="B3" s="125"/>
      <c r="C3" s="125"/>
      <c r="D3" s="125"/>
      <c r="E3" s="126"/>
    </row>
    <row r="4" spans="1:6" x14ac:dyDescent="0.2">
      <c r="A4" s="124"/>
      <c r="B4" s="125"/>
      <c r="C4" s="125"/>
      <c r="D4" s="125"/>
      <c r="E4" s="126"/>
    </row>
    <row r="5" spans="1:6" x14ac:dyDescent="0.2">
      <c r="A5" s="39"/>
      <c r="B5" s="40"/>
      <c r="C5" s="41"/>
      <c r="D5" s="41"/>
      <c r="E5" s="42"/>
    </row>
    <row r="6" spans="1:6" x14ac:dyDescent="0.2">
      <c r="A6" s="133" t="s">
        <v>20</v>
      </c>
      <c r="B6" s="134"/>
      <c r="C6" s="134"/>
      <c r="D6" s="134"/>
      <c r="E6" s="135"/>
    </row>
    <row r="7" spans="1:6" x14ac:dyDescent="0.2">
      <c r="A7" s="17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6" x14ac:dyDescent="0.2">
      <c r="A8" s="60" t="s">
        <v>42</v>
      </c>
      <c r="B8" s="4"/>
      <c r="C8" s="23"/>
      <c r="D8" s="23"/>
      <c r="E8" s="23"/>
    </row>
    <row r="9" spans="1:6" x14ac:dyDescent="0.2">
      <c r="A9" s="28" t="s">
        <v>43</v>
      </c>
      <c r="B9" s="4" t="s">
        <v>13</v>
      </c>
      <c r="C9" s="23"/>
      <c r="D9" s="23"/>
      <c r="E9" s="23"/>
    </row>
    <row r="10" spans="1:6" x14ac:dyDescent="0.2">
      <c r="A10" s="28" t="s">
        <v>44</v>
      </c>
      <c r="B10" s="4" t="s">
        <v>13</v>
      </c>
      <c r="C10" s="23"/>
      <c r="D10" s="23"/>
      <c r="E10" s="23"/>
    </row>
    <row r="11" spans="1:6" x14ac:dyDescent="0.2">
      <c r="A11" s="28" t="s">
        <v>45</v>
      </c>
      <c r="B11" s="4" t="s">
        <v>13</v>
      </c>
      <c r="C11" s="23"/>
      <c r="D11" s="23"/>
      <c r="E11" s="23"/>
    </row>
    <row r="12" spans="1:6" x14ac:dyDescent="0.2">
      <c r="A12" s="28"/>
      <c r="B12" s="4"/>
      <c r="C12" s="23"/>
      <c r="D12" s="23"/>
      <c r="E12" s="23"/>
    </row>
    <row r="13" spans="1:6" x14ac:dyDescent="0.2">
      <c r="A13" s="60" t="s">
        <v>46</v>
      </c>
      <c r="B13" s="4"/>
      <c r="C13" s="23"/>
      <c r="D13" s="23"/>
      <c r="E13" s="23"/>
    </row>
    <row r="14" spans="1:6" x14ac:dyDescent="0.2">
      <c r="A14" s="28" t="s">
        <v>47</v>
      </c>
      <c r="B14" s="4" t="s">
        <v>9</v>
      </c>
      <c r="C14" s="23">
        <v>239</v>
      </c>
      <c r="D14" s="23"/>
      <c r="E14" s="27">
        <f>D14*C14</f>
        <v>0</v>
      </c>
      <c r="F14">
        <f>20.005*11.955</f>
        <v>239.159775</v>
      </c>
    </row>
    <row r="15" spans="1:6" x14ac:dyDescent="0.2">
      <c r="A15" s="29" t="s">
        <v>48</v>
      </c>
      <c r="B15" s="4"/>
      <c r="C15" s="23"/>
      <c r="D15" s="23"/>
      <c r="E15" s="27"/>
    </row>
    <row r="16" spans="1:6" s="94" customFormat="1" x14ac:dyDescent="0.2">
      <c r="A16" s="151" t="s">
        <v>49</v>
      </c>
      <c r="B16" s="54" t="s">
        <v>10</v>
      </c>
      <c r="C16" s="76">
        <v>3</v>
      </c>
      <c r="D16" s="76"/>
      <c r="E16" s="146">
        <f>D16*C16</f>
        <v>0</v>
      </c>
    </row>
    <row r="17" spans="1:5" s="94" customFormat="1" x14ac:dyDescent="0.2">
      <c r="A17" s="152" t="s">
        <v>434</v>
      </c>
      <c r="B17" s="54"/>
      <c r="C17" s="76"/>
      <c r="D17" s="76"/>
      <c r="E17" s="146"/>
    </row>
    <row r="18" spans="1:5" s="149" customFormat="1" x14ac:dyDescent="0.2">
      <c r="A18" s="151" t="s">
        <v>433</v>
      </c>
      <c r="B18" s="54" t="s">
        <v>10</v>
      </c>
      <c r="C18" s="76">
        <v>1</v>
      </c>
      <c r="D18" s="76"/>
      <c r="E18" s="146">
        <f>D18*C18</f>
        <v>0</v>
      </c>
    </row>
    <row r="19" spans="1:5" s="149" customFormat="1" x14ac:dyDescent="0.2">
      <c r="A19" s="152" t="s">
        <v>435</v>
      </c>
      <c r="B19" s="54"/>
      <c r="C19" s="76"/>
      <c r="D19" s="76"/>
      <c r="E19" s="146"/>
    </row>
    <row r="20" spans="1:5" s="149" customFormat="1" x14ac:dyDescent="0.2">
      <c r="A20" s="151"/>
      <c r="B20" s="54"/>
      <c r="C20" s="76"/>
      <c r="D20" s="76"/>
      <c r="E20" s="76"/>
    </row>
    <row r="21" spans="1:5" x14ac:dyDescent="0.2">
      <c r="A21" s="28" t="s">
        <v>50</v>
      </c>
      <c r="B21" s="4"/>
      <c r="C21" s="23"/>
      <c r="D21" s="23"/>
      <c r="E21" s="23"/>
    </row>
    <row r="22" spans="1:5" x14ac:dyDescent="0.2">
      <c r="A22" s="29" t="s">
        <v>51</v>
      </c>
      <c r="B22" s="4" t="s">
        <v>12</v>
      </c>
      <c r="C22" s="23">
        <f>C27</f>
        <v>20.7</v>
      </c>
      <c r="D22" s="23"/>
      <c r="E22" s="27">
        <f>D22*C22</f>
        <v>0</v>
      </c>
    </row>
    <row r="23" spans="1:5" x14ac:dyDescent="0.2">
      <c r="A23" s="29" t="s">
        <v>52</v>
      </c>
      <c r="B23" s="4" t="s">
        <v>10</v>
      </c>
      <c r="C23" s="23">
        <v>1</v>
      </c>
      <c r="D23" s="23"/>
      <c r="E23" s="27">
        <f>D23*C23</f>
        <v>0</v>
      </c>
    </row>
    <row r="24" spans="1:5" x14ac:dyDescent="0.2">
      <c r="A24" s="29" t="s">
        <v>53</v>
      </c>
      <c r="B24" s="4" t="s">
        <v>10</v>
      </c>
      <c r="C24" s="23">
        <v>1</v>
      </c>
      <c r="D24" s="23"/>
      <c r="E24" s="27">
        <f>D24*C24</f>
        <v>0</v>
      </c>
    </row>
    <row r="25" spans="1:5" x14ac:dyDescent="0.2">
      <c r="A25" s="4"/>
      <c r="B25" s="4"/>
      <c r="C25" s="23"/>
      <c r="D25" s="23"/>
      <c r="E25" s="23"/>
    </row>
    <row r="26" spans="1:5" x14ac:dyDescent="0.2">
      <c r="A26" s="24" t="s">
        <v>54</v>
      </c>
      <c r="B26" s="4"/>
      <c r="C26" s="23"/>
      <c r="D26" s="23"/>
      <c r="E26" s="23"/>
    </row>
    <row r="27" spans="1:5" x14ac:dyDescent="0.2">
      <c r="A27" s="29" t="s">
        <v>55</v>
      </c>
      <c r="B27" s="4" t="s">
        <v>12</v>
      </c>
      <c r="C27" s="23">
        <v>20.7</v>
      </c>
      <c r="D27" s="23"/>
      <c r="E27" s="27">
        <f>D27*C27</f>
        <v>0</v>
      </c>
    </row>
    <row r="28" spans="1:5" x14ac:dyDescent="0.2">
      <c r="A28" s="29" t="s">
        <v>56</v>
      </c>
      <c r="B28" s="4" t="s">
        <v>12</v>
      </c>
      <c r="C28" s="23">
        <f>12.2*2</f>
        <v>24.4</v>
      </c>
      <c r="D28" s="23"/>
      <c r="E28" s="27">
        <f>D28*C28</f>
        <v>0</v>
      </c>
    </row>
    <row r="29" spans="1:5" ht="15" customHeight="1" x14ac:dyDescent="0.2">
      <c r="A29" s="29" t="s">
        <v>57</v>
      </c>
      <c r="B29" s="4" t="s">
        <v>12</v>
      </c>
      <c r="C29" s="23">
        <f>C27</f>
        <v>20.7</v>
      </c>
      <c r="D29" s="23"/>
      <c r="E29" s="27">
        <f>D29*C29</f>
        <v>0</v>
      </c>
    </row>
    <row r="30" spans="1:5" ht="15" customHeight="1" x14ac:dyDescent="0.2">
      <c r="A30" s="29"/>
      <c r="B30" s="4"/>
      <c r="C30" s="23"/>
      <c r="D30" s="23"/>
      <c r="E30" s="27"/>
    </row>
    <row r="31" spans="1:5" x14ac:dyDescent="0.2">
      <c r="A31" s="28" t="s">
        <v>58</v>
      </c>
      <c r="B31" s="4"/>
      <c r="C31" s="23"/>
      <c r="D31" s="23"/>
      <c r="E31" s="23"/>
    </row>
    <row r="32" spans="1:5" x14ac:dyDescent="0.2">
      <c r="A32" s="29" t="s">
        <v>59</v>
      </c>
      <c r="B32" s="4" t="s">
        <v>12</v>
      </c>
      <c r="C32" s="23">
        <v>20.6</v>
      </c>
      <c r="D32" s="23"/>
      <c r="E32" s="27">
        <f>D32*C32</f>
        <v>0</v>
      </c>
    </row>
    <row r="33" spans="1:6" x14ac:dyDescent="0.2">
      <c r="A33" s="29" t="s">
        <v>60</v>
      </c>
      <c r="B33" s="4" t="s">
        <v>10</v>
      </c>
      <c r="C33" s="23">
        <v>2</v>
      </c>
      <c r="D33" s="23"/>
      <c r="E33" s="27">
        <f>D33*C33</f>
        <v>0</v>
      </c>
    </row>
    <row r="34" spans="1:6" x14ac:dyDescent="0.2">
      <c r="A34" s="29" t="s">
        <v>61</v>
      </c>
      <c r="B34" s="4" t="s">
        <v>12</v>
      </c>
      <c r="C34" s="23">
        <f>2.4*2-2</f>
        <v>2.8</v>
      </c>
      <c r="D34" s="23"/>
      <c r="E34" s="27">
        <f>D34*C34</f>
        <v>0</v>
      </c>
    </row>
    <row r="35" spans="1:6" x14ac:dyDescent="0.2">
      <c r="A35" s="29" t="s">
        <v>62</v>
      </c>
      <c r="B35" s="4" t="s">
        <v>10</v>
      </c>
      <c r="C35" s="23">
        <v>2</v>
      </c>
      <c r="D35" s="23"/>
      <c r="E35" s="27">
        <f>D35*C35</f>
        <v>0</v>
      </c>
    </row>
    <row r="36" spans="1:6" x14ac:dyDescent="0.2">
      <c r="A36" s="4"/>
      <c r="B36" s="4"/>
      <c r="C36" s="23"/>
      <c r="D36" s="23"/>
      <c r="E36" s="23"/>
    </row>
    <row r="37" spans="1:6" x14ac:dyDescent="0.2">
      <c r="A37" s="6" t="s">
        <v>278</v>
      </c>
      <c r="B37" s="4"/>
      <c r="C37" s="23"/>
      <c r="D37" s="23"/>
      <c r="E37" s="23"/>
    </row>
    <row r="38" spans="1:6" x14ac:dyDescent="0.2">
      <c r="A38" s="24" t="s">
        <v>276</v>
      </c>
      <c r="B38" s="21" t="s">
        <v>9</v>
      </c>
      <c r="C38" s="61">
        <v>166</v>
      </c>
      <c r="D38" s="75"/>
      <c r="E38" s="61">
        <f>D38*C38</f>
        <v>0</v>
      </c>
      <c r="F38">
        <f>37.08+26.21+58.54+44.153</f>
        <v>165.983</v>
      </c>
    </row>
    <row r="39" spans="1:6" x14ac:dyDescent="0.2">
      <c r="A39" s="25" t="s">
        <v>277</v>
      </c>
      <c r="B39" s="21" t="s">
        <v>9</v>
      </c>
      <c r="C39" s="61">
        <f>35.6+56.5</f>
        <v>92.1</v>
      </c>
      <c r="D39" s="61"/>
      <c r="E39" s="61">
        <f>D39*C39</f>
        <v>0</v>
      </c>
    </row>
    <row r="40" spans="1:6" x14ac:dyDescent="0.2">
      <c r="A40" s="25"/>
      <c r="B40" s="21"/>
      <c r="C40" s="61"/>
      <c r="D40" s="61"/>
      <c r="E40" s="61"/>
    </row>
    <row r="41" spans="1:6" x14ac:dyDescent="0.2">
      <c r="A41" s="28" t="s">
        <v>63</v>
      </c>
      <c r="B41" s="4"/>
      <c r="C41" s="23"/>
      <c r="D41" s="23"/>
      <c r="E41" s="23"/>
    </row>
    <row r="42" spans="1:6" x14ac:dyDescent="0.2">
      <c r="A42" s="29" t="s">
        <v>64</v>
      </c>
      <c r="B42" s="4" t="s">
        <v>12</v>
      </c>
      <c r="C42" s="23">
        <v>53</v>
      </c>
      <c r="D42" s="23"/>
      <c r="E42" s="27">
        <f>D42*C42</f>
        <v>0</v>
      </c>
      <c r="F42">
        <f>4.95+6.39+12.28+1.8+4.37+2.97+1.48+20.66-0.95*2</f>
        <v>52.999999999999993</v>
      </c>
    </row>
    <row r="43" spans="1:6" x14ac:dyDescent="0.2">
      <c r="A43" s="31" t="s">
        <v>65</v>
      </c>
      <c r="B43" s="4"/>
      <c r="C43" s="23"/>
      <c r="D43" s="23"/>
      <c r="E43" s="23"/>
    </row>
    <row r="44" spans="1:6" x14ac:dyDescent="0.2">
      <c r="A44" s="29" t="s">
        <v>66</v>
      </c>
      <c r="B44" s="4"/>
      <c r="C44" s="23"/>
      <c r="D44" s="23"/>
      <c r="E44" s="27"/>
    </row>
    <row r="45" spans="1:6" x14ac:dyDescent="0.2">
      <c r="A45" s="45" t="s">
        <v>164</v>
      </c>
      <c r="B45" s="4" t="s">
        <v>12</v>
      </c>
      <c r="C45" s="23">
        <v>6.3</v>
      </c>
      <c r="D45" s="23"/>
      <c r="E45" s="27">
        <f>D45*C45</f>
        <v>0</v>
      </c>
      <c r="F45">
        <f>1.97*2+1.17*2</f>
        <v>6.2799999999999994</v>
      </c>
    </row>
    <row r="46" spans="1:6" x14ac:dyDescent="0.2">
      <c r="A46" s="45" t="s">
        <v>165</v>
      </c>
      <c r="B46" s="4" t="s">
        <v>12</v>
      </c>
      <c r="C46" s="23">
        <v>23.1</v>
      </c>
      <c r="D46" s="23"/>
      <c r="E46" s="27">
        <f>D46*C46</f>
        <v>0</v>
      </c>
      <c r="F46">
        <f>1.97*10+1.7*2</f>
        <v>23.099999999999998</v>
      </c>
    </row>
    <row r="47" spans="1:6" x14ac:dyDescent="0.2">
      <c r="A47" s="31" t="s">
        <v>67</v>
      </c>
      <c r="B47" s="4"/>
      <c r="C47" s="23"/>
      <c r="D47" s="23"/>
      <c r="E47" s="23"/>
    </row>
    <row r="48" spans="1:6" x14ac:dyDescent="0.2">
      <c r="A48" s="29" t="s">
        <v>68</v>
      </c>
      <c r="B48" s="4"/>
      <c r="C48" s="23"/>
      <c r="D48" s="23"/>
      <c r="E48" s="27"/>
    </row>
    <row r="49" spans="1:6" x14ac:dyDescent="0.2">
      <c r="A49" s="45" t="s">
        <v>164</v>
      </c>
      <c r="B49" s="4" t="s">
        <v>12</v>
      </c>
      <c r="C49" s="23">
        <v>5.3</v>
      </c>
      <c r="D49" s="23"/>
      <c r="E49" s="27">
        <f>D49*C49</f>
        <v>0</v>
      </c>
      <c r="F49" s="23">
        <f>0.9+3.51+0.9</f>
        <v>5.3100000000000005</v>
      </c>
    </row>
    <row r="50" spans="1:6" x14ac:dyDescent="0.2">
      <c r="A50" s="45" t="s">
        <v>165</v>
      </c>
      <c r="B50" s="4" t="s">
        <v>12</v>
      </c>
      <c r="C50" s="23">
        <v>1.7</v>
      </c>
      <c r="D50" s="23"/>
      <c r="E50" s="27">
        <f>D50*C50</f>
        <v>0</v>
      </c>
    </row>
    <row r="51" spans="1:6" x14ac:dyDescent="0.2">
      <c r="A51" s="31" t="s">
        <v>69</v>
      </c>
      <c r="B51" s="4"/>
      <c r="C51" s="23"/>
      <c r="D51" s="23"/>
      <c r="E51" s="23"/>
    </row>
    <row r="52" spans="1:6" x14ac:dyDescent="0.2">
      <c r="A52" s="29" t="s">
        <v>70</v>
      </c>
      <c r="B52" s="4"/>
      <c r="C52" s="23"/>
      <c r="D52" s="23"/>
      <c r="E52" s="27"/>
    </row>
    <row r="53" spans="1:6" x14ac:dyDescent="0.2">
      <c r="A53" s="45" t="s">
        <v>164</v>
      </c>
      <c r="B53" s="4" t="s">
        <v>12</v>
      </c>
      <c r="C53" s="23">
        <v>8.3000000000000007</v>
      </c>
      <c r="D53" s="23"/>
      <c r="E53" s="27">
        <f>D53*C53</f>
        <v>0</v>
      </c>
      <c r="F53">
        <f>7.35+0.9</f>
        <v>8.25</v>
      </c>
    </row>
    <row r="54" spans="1:6" x14ac:dyDescent="0.2">
      <c r="A54" s="45" t="s">
        <v>165</v>
      </c>
      <c r="B54" s="4" t="s">
        <v>12</v>
      </c>
      <c r="C54" s="23">
        <v>13.6</v>
      </c>
      <c r="D54" s="23"/>
      <c r="E54" s="27">
        <f>D54*C54</f>
        <v>0</v>
      </c>
      <c r="F54">
        <f>8.1+0.95*4+1.7</f>
        <v>13.599999999999998</v>
      </c>
    </row>
    <row r="55" spans="1:6" x14ac:dyDescent="0.2">
      <c r="A55" s="31" t="s">
        <v>71</v>
      </c>
      <c r="B55" s="4"/>
      <c r="C55" s="23"/>
      <c r="D55" s="23"/>
      <c r="E55" s="23"/>
    </row>
    <row r="56" spans="1:6" x14ac:dyDescent="0.2">
      <c r="A56" s="29" t="s">
        <v>72</v>
      </c>
      <c r="B56" s="4" t="s">
        <v>12</v>
      </c>
      <c r="C56" s="23">
        <v>13.4</v>
      </c>
      <c r="D56" s="23"/>
      <c r="E56" s="27">
        <f>D56*C56</f>
        <v>0</v>
      </c>
      <c r="F56">
        <f>(2.73+3.95)*2</f>
        <v>13.36</v>
      </c>
    </row>
    <row r="57" spans="1:6" ht="25.5" x14ac:dyDescent="0.2">
      <c r="A57" s="32" t="s">
        <v>73</v>
      </c>
      <c r="B57" s="4"/>
      <c r="C57" s="23"/>
      <c r="D57" s="23"/>
      <c r="E57" s="23"/>
    </row>
    <row r="58" spans="1:6" x14ac:dyDescent="0.2">
      <c r="A58" s="29" t="s">
        <v>74</v>
      </c>
      <c r="B58" s="4" t="s">
        <v>12</v>
      </c>
      <c r="C58" s="23">
        <v>45</v>
      </c>
      <c r="D58" s="23"/>
      <c r="E58" s="27">
        <f>D58*C58</f>
        <v>0</v>
      </c>
      <c r="F58">
        <f>20.35+12.1*2</f>
        <v>44.55</v>
      </c>
    </row>
    <row r="59" spans="1:6" x14ac:dyDescent="0.2">
      <c r="A59" s="31" t="s">
        <v>75</v>
      </c>
      <c r="B59" s="4"/>
      <c r="C59" s="23"/>
      <c r="D59" s="23"/>
      <c r="E59" s="23"/>
    </row>
    <row r="60" spans="1:6" x14ac:dyDescent="0.2">
      <c r="A60" s="31"/>
      <c r="B60" s="4"/>
      <c r="C60" s="23"/>
      <c r="D60" s="23"/>
      <c r="E60" s="23"/>
    </row>
    <row r="61" spans="1:6" x14ac:dyDescent="0.2">
      <c r="A61" s="86" t="s">
        <v>374</v>
      </c>
      <c r="B61" s="4" t="s">
        <v>11</v>
      </c>
      <c r="C61" s="23">
        <v>1</v>
      </c>
      <c r="D61" s="23"/>
      <c r="E61" s="27">
        <f>D61*C61</f>
        <v>0</v>
      </c>
    </row>
    <row r="63" spans="1:6" s="3" customFormat="1" ht="30" customHeight="1" x14ac:dyDescent="0.2">
      <c r="A63" s="55" t="s">
        <v>76</v>
      </c>
      <c r="B63" s="55"/>
      <c r="C63" s="53"/>
      <c r="D63" s="53"/>
      <c r="E63" s="53">
        <f>SUM(E8:E62)</f>
        <v>0</v>
      </c>
    </row>
    <row r="64" spans="1:6" s="3" customFormat="1" ht="30" customHeight="1" x14ac:dyDescent="0.2">
      <c r="A64" s="55" t="s">
        <v>23</v>
      </c>
      <c r="B64" s="55"/>
      <c r="C64" s="53"/>
      <c r="D64" s="53"/>
      <c r="E64" s="53">
        <f>E63*20%</f>
        <v>0</v>
      </c>
    </row>
    <row r="65" spans="1:5" s="3" customFormat="1" ht="30" customHeight="1" x14ac:dyDescent="0.2">
      <c r="A65" s="55" t="s">
        <v>77</v>
      </c>
      <c r="B65" s="55"/>
      <c r="C65" s="53"/>
      <c r="D65" s="53"/>
      <c r="E65" s="53">
        <f>E63+E64</f>
        <v>0</v>
      </c>
    </row>
    <row r="67" spans="1:5" x14ac:dyDescent="0.2">
      <c r="A67" s="6" t="s">
        <v>344</v>
      </c>
      <c r="B67" s="4"/>
      <c r="C67" s="23"/>
      <c r="D67" s="23"/>
      <c r="E67" s="23"/>
    </row>
    <row r="68" spans="1:5" x14ac:dyDescent="0.2">
      <c r="A68" s="28" t="s">
        <v>345</v>
      </c>
      <c r="B68" s="4" t="s">
        <v>11</v>
      </c>
      <c r="C68" s="23">
        <v>1</v>
      </c>
      <c r="D68" s="23"/>
      <c r="E68" s="23">
        <f>D68*C68</f>
        <v>0</v>
      </c>
    </row>
    <row r="69" spans="1:5" x14ac:dyDescent="0.2">
      <c r="A69" s="4"/>
      <c r="B69" s="4"/>
      <c r="C69" s="23"/>
      <c r="D69" s="23"/>
      <c r="E69" s="23"/>
    </row>
    <row r="70" spans="1:5" ht="28.5" x14ac:dyDescent="0.2">
      <c r="A70" s="56" t="s">
        <v>346</v>
      </c>
      <c r="B70" s="55"/>
      <c r="C70" s="53"/>
      <c r="D70" s="53"/>
      <c r="E70" s="53">
        <f>E68</f>
        <v>0</v>
      </c>
    </row>
    <row r="71" spans="1:5" x14ac:dyDescent="0.2">
      <c r="A71" s="55" t="s">
        <v>23</v>
      </c>
      <c r="B71" s="55"/>
      <c r="C71" s="53"/>
      <c r="D71" s="53"/>
      <c r="E71" s="53">
        <f>E70*20%</f>
        <v>0</v>
      </c>
    </row>
    <row r="72" spans="1:5" ht="28.5" x14ac:dyDescent="0.2">
      <c r="A72" s="56" t="s">
        <v>347</v>
      </c>
      <c r="B72" s="55"/>
      <c r="C72" s="53"/>
      <c r="D72" s="53"/>
      <c r="E72" s="53">
        <f>E70+E71</f>
        <v>0</v>
      </c>
    </row>
    <row r="74" spans="1:5" x14ac:dyDescent="0.2">
      <c r="A74" s="24" t="s">
        <v>371</v>
      </c>
      <c r="B74" s="21" t="s">
        <v>9</v>
      </c>
      <c r="C74" s="27">
        <f>C38</f>
        <v>166</v>
      </c>
      <c r="D74" s="27"/>
      <c r="E74" s="27">
        <f>D74*C74</f>
        <v>0</v>
      </c>
    </row>
    <row r="75" spans="1:5" x14ac:dyDescent="0.2">
      <c r="A75" s="25" t="s">
        <v>370</v>
      </c>
      <c r="B75" s="21" t="s">
        <v>9</v>
      </c>
      <c r="C75" s="61">
        <f>35.6+56.5</f>
        <v>92.1</v>
      </c>
      <c r="D75" s="27"/>
      <c r="E75" s="27">
        <f>D75*C75</f>
        <v>0</v>
      </c>
    </row>
    <row r="76" spans="1:5" ht="32.25" customHeight="1" x14ac:dyDescent="0.2">
      <c r="A76" s="56" t="s">
        <v>372</v>
      </c>
      <c r="B76" s="55"/>
      <c r="C76" s="53"/>
      <c r="D76" s="53"/>
      <c r="E76" s="53">
        <f>SUM(E74:E75)</f>
        <v>0</v>
      </c>
    </row>
    <row r="77" spans="1:5" x14ac:dyDescent="0.2">
      <c r="A77" s="55" t="s">
        <v>23</v>
      </c>
      <c r="B77" s="55"/>
      <c r="C77" s="53"/>
      <c r="D77" s="53"/>
      <c r="E77" s="53">
        <f>E76*20%</f>
        <v>0</v>
      </c>
    </row>
    <row r="78" spans="1:5" ht="33" customHeight="1" x14ac:dyDescent="0.2">
      <c r="A78" s="56" t="s">
        <v>373</v>
      </c>
      <c r="B78" s="55"/>
      <c r="C78" s="53"/>
      <c r="D78" s="53"/>
      <c r="E78" s="53">
        <f>E76+E77</f>
        <v>0</v>
      </c>
    </row>
    <row r="79" spans="1:5" ht="112.5" customHeight="1" x14ac:dyDescent="0.2">
      <c r="A79" s="165" t="s">
        <v>458</v>
      </c>
      <c r="B79" s="166"/>
      <c r="C79" s="166"/>
      <c r="D79" s="166"/>
      <c r="E79" s="167"/>
    </row>
  </sheetData>
  <mergeCells count="4">
    <mergeCell ref="A1:E2"/>
    <mergeCell ref="A3:E4"/>
    <mergeCell ref="A6:E6"/>
    <mergeCell ref="A79:E79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B39" sqref="B39"/>
    </sheetView>
  </sheetViews>
  <sheetFormatPr baseColWidth="10" defaultColWidth="10.75" defaultRowHeight="14.25" x14ac:dyDescent="0.2"/>
  <cols>
    <col min="1" max="1" width="19.875" style="7" customWidth="1"/>
    <col min="2" max="3" width="29.125" style="7" customWidth="1"/>
    <col min="4" max="16384" width="10.75" style="7"/>
  </cols>
  <sheetData>
    <row r="1" spans="1:3" x14ac:dyDescent="0.2">
      <c r="A1" s="99" t="s">
        <v>2</v>
      </c>
      <c r="B1" s="99"/>
      <c r="C1" s="99"/>
    </row>
    <row r="2" spans="1:3" x14ac:dyDescent="0.2">
      <c r="A2" s="100" t="s">
        <v>281</v>
      </c>
      <c r="B2" s="100"/>
      <c r="C2" s="100"/>
    </row>
    <row r="3" spans="1:3" x14ac:dyDescent="0.2">
      <c r="A3" s="100"/>
      <c r="B3" s="100"/>
      <c r="C3" s="100"/>
    </row>
    <row r="4" spans="1:3" ht="15.75" x14ac:dyDescent="0.2">
      <c r="A4" s="111" t="s">
        <v>283</v>
      </c>
      <c r="B4" s="111"/>
      <c r="C4" s="111"/>
    </row>
    <row r="5" spans="1:3" ht="18" x14ac:dyDescent="0.2">
      <c r="A5" s="8"/>
      <c r="B5" s="8"/>
      <c r="C5" s="8"/>
    </row>
    <row r="9" spans="1:3" x14ac:dyDescent="0.2">
      <c r="A9" s="102" t="s">
        <v>3</v>
      </c>
      <c r="B9" s="102"/>
      <c r="C9" s="102"/>
    </row>
    <row r="10" spans="1:3" ht="45" customHeight="1" x14ac:dyDescent="0.3">
      <c r="A10" s="101" t="s">
        <v>280</v>
      </c>
      <c r="B10" s="101"/>
      <c r="C10" s="101"/>
    </row>
    <row r="11" spans="1:3" ht="15.75" x14ac:dyDescent="0.2">
      <c r="A11" s="111" t="s">
        <v>283</v>
      </c>
      <c r="B11" s="111"/>
      <c r="C11" s="111"/>
    </row>
    <row r="12" spans="1:3" x14ac:dyDescent="0.2">
      <c r="A12" s="59"/>
      <c r="B12" s="59"/>
      <c r="C12" s="59"/>
    </row>
    <row r="14" spans="1:3" x14ac:dyDescent="0.2">
      <c r="A14" s="102" t="s">
        <v>5</v>
      </c>
      <c r="B14" s="102"/>
      <c r="C14" s="102"/>
    </row>
    <row r="15" spans="1:3" ht="22.5" x14ac:dyDescent="0.3">
      <c r="A15" s="110" t="s">
        <v>279</v>
      </c>
      <c r="B15" s="110"/>
      <c r="C15" s="110"/>
    </row>
    <row r="17" spans="1:8" x14ac:dyDescent="0.2">
      <c r="H17" s="7" t="s">
        <v>8</v>
      </c>
    </row>
    <row r="20" spans="1:8" ht="22.5" x14ac:dyDescent="0.3">
      <c r="A20" s="107" t="s">
        <v>459</v>
      </c>
      <c r="B20" s="107"/>
      <c r="C20" s="107"/>
    </row>
    <row r="21" spans="1:8" x14ac:dyDescent="0.2">
      <c r="A21" s="168" t="s">
        <v>460</v>
      </c>
      <c r="B21" s="168"/>
      <c r="C21" s="168"/>
    </row>
    <row r="22" spans="1:8" x14ac:dyDescent="0.2">
      <c r="A22" s="169"/>
      <c r="B22" s="169"/>
      <c r="C22" s="169"/>
    </row>
    <row r="23" spans="1:8" x14ac:dyDescent="0.2">
      <c r="A23" s="103" t="s">
        <v>284</v>
      </c>
      <c r="B23" s="104"/>
      <c r="C23" s="104"/>
    </row>
    <row r="24" spans="1:8" x14ac:dyDescent="0.2">
      <c r="A24" s="57"/>
      <c r="B24" s="58"/>
      <c r="C24" s="58"/>
    </row>
    <row r="25" spans="1:8" x14ac:dyDescent="0.2">
      <c r="A25" s="57"/>
      <c r="B25" s="58"/>
      <c r="C25" s="58"/>
    </row>
    <row r="26" spans="1:8" ht="18" x14ac:dyDescent="0.25">
      <c r="A26" s="109" t="s">
        <v>287</v>
      </c>
      <c r="B26" s="109"/>
      <c r="C26" s="109"/>
    </row>
    <row r="27" spans="1:8" ht="18" x14ac:dyDescent="0.25">
      <c r="A27" s="62"/>
      <c r="B27" s="62"/>
      <c r="C27" s="62"/>
    </row>
    <row r="28" spans="1:8" x14ac:dyDescent="0.2">
      <c r="A28" s="57"/>
      <c r="B28" s="58"/>
      <c r="C28" s="58"/>
    </row>
    <row r="29" spans="1:8" x14ac:dyDescent="0.2">
      <c r="A29" s="57"/>
      <c r="B29" s="58"/>
      <c r="C29" s="58"/>
    </row>
    <row r="30" spans="1:8" x14ac:dyDescent="0.2">
      <c r="A30" s="105" t="s">
        <v>6</v>
      </c>
      <c r="B30" s="105"/>
      <c r="C30" s="105"/>
    </row>
    <row r="31" spans="1:8" s="10" customFormat="1" ht="48" customHeight="1" x14ac:dyDescent="0.2">
      <c r="A31" s="88" t="s">
        <v>0</v>
      </c>
      <c r="B31" s="108" t="s">
        <v>282</v>
      </c>
      <c r="C31" s="98"/>
    </row>
    <row r="32" spans="1:8" s="10" customFormat="1" ht="54.95" customHeight="1" x14ac:dyDescent="0.2">
      <c r="A32" s="9" t="s">
        <v>1</v>
      </c>
      <c r="B32" s="98" t="s">
        <v>17</v>
      </c>
      <c r="C32" s="98"/>
    </row>
    <row r="33" spans="1:3" s="10" customFormat="1" ht="54.95" customHeight="1" x14ac:dyDescent="0.2">
      <c r="A33" s="9" t="s">
        <v>15</v>
      </c>
      <c r="B33" s="98" t="s">
        <v>18</v>
      </c>
      <c r="C33" s="98"/>
    </row>
    <row r="34" spans="1:3" s="10" customFormat="1" ht="69.75" customHeight="1" x14ac:dyDescent="0.2">
      <c r="A34" s="9" t="s">
        <v>16</v>
      </c>
      <c r="B34" s="98" t="s">
        <v>19</v>
      </c>
      <c r="C34" s="98"/>
    </row>
    <row r="35" spans="1:3" ht="60" customHeight="1" x14ac:dyDescent="0.2"/>
  </sheetData>
  <mergeCells count="17">
    <mergeCell ref="B34:C34"/>
    <mergeCell ref="A14:C14"/>
    <mergeCell ref="A15:C15"/>
    <mergeCell ref="A20:C20"/>
    <mergeCell ref="A23:C23"/>
    <mergeCell ref="A26:C26"/>
    <mergeCell ref="A30:C30"/>
    <mergeCell ref="B31:C31"/>
    <mergeCell ref="B32:C32"/>
    <mergeCell ref="B33:C33"/>
    <mergeCell ref="A21:C21"/>
    <mergeCell ref="A11:C11"/>
    <mergeCell ref="A1:C1"/>
    <mergeCell ref="A2:C3"/>
    <mergeCell ref="A4:C4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zoomScale="85" zoomScaleNormal="100" zoomScaleSheetLayoutView="85" workbookViewId="0">
      <selection activeCell="H62" sqref="H62"/>
    </sheetView>
  </sheetViews>
  <sheetFormatPr baseColWidth="10" defaultRowHeight="14.25" x14ac:dyDescent="0.2"/>
  <cols>
    <col min="1" max="1" width="59.625" style="16" customWidth="1"/>
    <col min="2" max="2" width="3.375" bestFit="1" customWidth="1"/>
    <col min="3" max="3" width="8.5" style="2" bestFit="1" customWidth="1"/>
    <col min="4" max="4" width="8.875" style="2" bestFit="1" customWidth="1"/>
    <col min="5" max="5" width="12.5" style="2" bestFit="1" customWidth="1"/>
  </cols>
  <sheetData>
    <row r="1" spans="1:12" x14ac:dyDescent="0.2">
      <c r="A1" s="118" t="s">
        <v>7</v>
      </c>
      <c r="B1" s="119"/>
      <c r="C1" s="119"/>
      <c r="D1" s="119"/>
      <c r="E1" s="120"/>
    </row>
    <row r="2" spans="1:12" x14ac:dyDescent="0.2">
      <c r="A2" s="121"/>
      <c r="B2" s="122"/>
      <c r="C2" s="122"/>
      <c r="D2" s="122"/>
      <c r="E2" s="123"/>
    </row>
    <row r="3" spans="1:12" x14ac:dyDescent="0.2">
      <c r="A3" s="124" t="s">
        <v>4</v>
      </c>
      <c r="B3" s="125"/>
      <c r="C3" s="125"/>
      <c r="D3" s="125"/>
      <c r="E3" s="126"/>
    </row>
    <row r="4" spans="1:12" x14ac:dyDescent="0.2">
      <c r="A4" s="124"/>
      <c r="B4" s="125"/>
      <c r="C4" s="125"/>
      <c r="D4" s="125"/>
      <c r="E4" s="126"/>
    </row>
    <row r="5" spans="1:12" x14ac:dyDescent="0.2">
      <c r="A5" s="74"/>
      <c r="B5" s="40"/>
      <c r="C5" s="41"/>
      <c r="D5" s="41"/>
      <c r="E5" s="42"/>
    </row>
    <row r="6" spans="1:12" x14ac:dyDescent="0.2">
      <c r="A6" s="136" t="s">
        <v>41</v>
      </c>
      <c r="B6" s="137"/>
      <c r="C6" s="137"/>
      <c r="D6" s="137"/>
      <c r="E6" s="138"/>
    </row>
    <row r="7" spans="1:12" x14ac:dyDescent="0.2">
      <c r="A7" s="33" t="s">
        <v>14</v>
      </c>
      <c r="B7" s="18" t="s">
        <v>33</v>
      </c>
      <c r="C7" s="22" t="s">
        <v>34</v>
      </c>
      <c r="D7" s="22" t="s">
        <v>35</v>
      </c>
      <c r="E7" s="22" t="s">
        <v>36</v>
      </c>
    </row>
    <row r="8" spans="1:12" x14ac:dyDescent="0.2">
      <c r="A8" s="6" t="s">
        <v>81</v>
      </c>
      <c r="B8" s="4"/>
      <c r="C8" s="23"/>
      <c r="D8" s="23"/>
      <c r="E8" s="23"/>
    </row>
    <row r="9" spans="1:12" x14ac:dyDescent="0.2">
      <c r="A9" s="24" t="s">
        <v>82</v>
      </c>
      <c r="B9" s="4" t="s">
        <v>13</v>
      </c>
      <c r="C9" s="23"/>
      <c r="D9" s="23"/>
      <c r="E9" s="23"/>
    </row>
    <row r="10" spans="1:12" x14ac:dyDescent="0.2">
      <c r="A10" s="24" t="s">
        <v>80</v>
      </c>
      <c r="B10" s="4" t="s">
        <v>13</v>
      </c>
      <c r="C10" s="23"/>
      <c r="D10" s="23"/>
      <c r="E10" s="23"/>
    </row>
    <row r="11" spans="1:12" x14ac:dyDescent="0.2">
      <c r="A11" s="24" t="s">
        <v>79</v>
      </c>
      <c r="B11" s="4" t="s">
        <v>13</v>
      </c>
      <c r="C11" s="23"/>
      <c r="D11" s="23"/>
      <c r="E11" s="23"/>
    </row>
    <row r="12" spans="1:12" x14ac:dyDescent="0.2">
      <c r="A12" s="19"/>
      <c r="B12" s="4"/>
      <c r="C12" s="23"/>
      <c r="D12" s="23"/>
      <c r="E12" s="23"/>
    </row>
    <row r="13" spans="1:12" x14ac:dyDescent="0.2">
      <c r="A13" s="6" t="s">
        <v>78</v>
      </c>
      <c r="B13" s="4"/>
      <c r="C13" s="23"/>
      <c r="D13" s="23"/>
      <c r="E13" s="23"/>
    </row>
    <row r="14" spans="1:12" x14ac:dyDescent="0.2">
      <c r="A14" s="24" t="s">
        <v>84</v>
      </c>
      <c r="B14" s="4"/>
      <c r="C14" s="23"/>
      <c r="D14" s="23"/>
      <c r="E14" s="23"/>
    </row>
    <row r="15" spans="1:12" x14ac:dyDescent="0.2">
      <c r="A15" s="25" t="s">
        <v>95</v>
      </c>
      <c r="B15" s="4" t="s">
        <v>10</v>
      </c>
      <c r="C15" s="23">
        <v>3</v>
      </c>
      <c r="D15" s="23"/>
      <c r="E15" s="23">
        <f>D15*C15</f>
        <v>0</v>
      </c>
      <c r="F15">
        <v>1.98</v>
      </c>
      <c r="G15" s="7"/>
      <c r="H15" s="7"/>
      <c r="I15" s="7"/>
      <c r="J15" s="7"/>
      <c r="K15" s="7">
        <f>F15*(G15+H15)+I15+J15</f>
        <v>0</v>
      </c>
      <c r="L15">
        <f>SUM(K15:K16)</f>
        <v>0</v>
      </c>
    </row>
    <row r="16" spans="1:12" x14ac:dyDescent="0.2">
      <c r="A16" s="34" t="s">
        <v>85</v>
      </c>
      <c r="B16" s="4"/>
      <c r="C16" s="23"/>
      <c r="D16" s="23"/>
      <c r="E16" s="23"/>
    </row>
    <row r="17" spans="1:13" x14ac:dyDescent="0.2">
      <c r="A17" s="24" t="s">
        <v>86</v>
      </c>
      <c r="B17" s="4"/>
      <c r="C17" s="23"/>
      <c r="D17" s="23"/>
      <c r="E17" s="23"/>
    </row>
    <row r="18" spans="1:13" x14ac:dyDescent="0.2">
      <c r="A18" s="25" t="s">
        <v>87</v>
      </c>
      <c r="B18" s="4" t="s">
        <v>10</v>
      </c>
      <c r="C18" s="23">
        <v>1</v>
      </c>
      <c r="D18" s="23"/>
      <c r="E18" s="23">
        <f>D18*C18</f>
        <v>0</v>
      </c>
      <c r="F18">
        <f>1.8*1.7</f>
        <v>3.06</v>
      </c>
      <c r="G18" s="7"/>
      <c r="J18" s="7"/>
      <c r="K18" s="7">
        <f>F18*(G18+H18)+I18+J18</f>
        <v>0</v>
      </c>
      <c r="L18">
        <f>SUM(K18:K19)</f>
        <v>0</v>
      </c>
    </row>
    <row r="19" spans="1:13" x14ac:dyDescent="0.2">
      <c r="A19" s="34" t="s">
        <v>88</v>
      </c>
      <c r="B19" s="4"/>
      <c r="C19" s="23"/>
      <c r="D19" s="23"/>
      <c r="E19" s="23"/>
    </row>
    <row r="20" spans="1:13" x14ac:dyDescent="0.2">
      <c r="A20" s="25" t="s">
        <v>389</v>
      </c>
      <c r="B20" s="4" t="s">
        <v>10</v>
      </c>
      <c r="C20" s="23">
        <v>1</v>
      </c>
      <c r="D20" s="23"/>
      <c r="E20" s="23">
        <f>D20*C20</f>
        <v>0</v>
      </c>
      <c r="F20">
        <f>0.9*1.1</f>
        <v>0.9900000000000001</v>
      </c>
      <c r="G20" s="7"/>
      <c r="J20" s="7"/>
      <c r="K20" s="7">
        <f>F20*(G20+H20)+I20+J20</f>
        <v>0</v>
      </c>
      <c r="L20">
        <f>SUM(K20:K21)</f>
        <v>0</v>
      </c>
    </row>
    <row r="21" spans="1:13" x14ac:dyDescent="0.2">
      <c r="A21" s="34" t="s">
        <v>89</v>
      </c>
      <c r="B21" s="4"/>
      <c r="C21" s="23"/>
      <c r="D21" s="23"/>
      <c r="E21" s="23"/>
    </row>
    <row r="22" spans="1:13" x14ac:dyDescent="0.2">
      <c r="A22" s="34"/>
      <c r="B22" s="4"/>
      <c r="C22" s="23"/>
      <c r="D22" s="23"/>
      <c r="E22" s="23"/>
    </row>
    <row r="23" spans="1:13" x14ac:dyDescent="0.2">
      <c r="A23" s="24" t="s">
        <v>90</v>
      </c>
      <c r="B23" s="4"/>
      <c r="C23" s="23"/>
      <c r="D23" s="23"/>
      <c r="E23" s="23"/>
      <c r="F23" s="4">
        <f>6.15+3.15</f>
        <v>9.3000000000000007</v>
      </c>
      <c r="G23" s="11"/>
      <c r="H23" s="11"/>
      <c r="I23" s="11"/>
      <c r="J23" s="11"/>
      <c r="K23" s="11">
        <f>F23*(G23+H23)+I23+J23</f>
        <v>0</v>
      </c>
      <c r="L23" s="112">
        <f>SUM(K23:K25)</f>
        <v>0</v>
      </c>
      <c r="M23" s="4" t="s">
        <v>376</v>
      </c>
    </row>
    <row r="24" spans="1:13" ht="28.5" x14ac:dyDescent="0.2">
      <c r="A24" s="25" t="s">
        <v>390</v>
      </c>
      <c r="B24" s="21" t="s">
        <v>10</v>
      </c>
      <c r="C24" s="27">
        <v>1</v>
      </c>
      <c r="D24" s="27"/>
      <c r="E24" s="27">
        <f>D24*C24</f>
        <v>0</v>
      </c>
      <c r="F24" s="21">
        <v>1.89</v>
      </c>
      <c r="G24" s="12"/>
      <c r="H24" s="21"/>
      <c r="I24" s="21"/>
      <c r="J24" s="12"/>
      <c r="K24" s="12">
        <f>F24*(G24+H24)+I24+J24</f>
        <v>0</v>
      </c>
      <c r="L24" s="113"/>
      <c r="M24" s="4" t="s">
        <v>375</v>
      </c>
    </row>
    <row r="25" spans="1:13" x14ac:dyDescent="0.2">
      <c r="A25" s="34" t="s">
        <v>91</v>
      </c>
      <c r="B25" s="4"/>
      <c r="C25" s="23"/>
      <c r="D25" s="23"/>
      <c r="E25" s="23"/>
      <c r="F25" s="4">
        <f>0.945*2.15</f>
        <v>2.0317499999999997</v>
      </c>
      <c r="G25" s="11"/>
      <c r="H25" s="11"/>
      <c r="I25" s="11"/>
      <c r="J25" s="11"/>
      <c r="K25" s="11">
        <f>F25*(G25+H25)+I25+J25</f>
        <v>0</v>
      </c>
      <c r="L25" s="114"/>
      <c r="M25" s="4" t="s">
        <v>377</v>
      </c>
    </row>
    <row r="26" spans="1:13" x14ac:dyDescent="0.2">
      <c r="B26" s="4"/>
      <c r="C26" s="23"/>
      <c r="D26" s="23"/>
      <c r="E26" s="23"/>
    </row>
    <row r="27" spans="1:13" ht="28.5" x14ac:dyDescent="0.2">
      <c r="A27" s="25" t="s">
        <v>378</v>
      </c>
      <c r="B27" s="21" t="s">
        <v>10</v>
      </c>
      <c r="C27" s="27">
        <v>1</v>
      </c>
      <c r="D27" s="27"/>
      <c r="E27" s="27">
        <f>D27*C27</f>
        <v>0</v>
      </c>
      <c r="F27" s="21">
        <v>9.7200000000000006</v>
      </c>
      <c r="G27" s="12"/>
      <c r="H27" s="21"/>
      <c r="I27" s="21"/>
      <c r="J27" s="12"/>
      <c r="K27" s="12">
        <f>F27*(G27+H27)+I27+J27</f>
        <v>0</v>
      </c>
      <c r="L27" s="113">
        <f>SUM(K27:K28)</f>
        <v>0</v>
      </c>
      <c r="M27" s="4" t="s">
        <v>375</v>
      </c>
    </row>
    <row r="28" spans="1:13" x14ac:dyDescent="0.2">
      <c r="A28" s="34" t="s">
        <v>92</v>
      </c>
      <c r="B28" s="4"/>
      <c r="C28" s="23"/>
      <c r="D28" s="23"/>
      <c r="E28" s="23"/>
      <c r="F28" s="4">
        <f>1.84*2.15*2</f>
        <v>7.9119999999999999</v>
      </c>
      <c r="G28" s="11"/>
      <c r="H28" s="11"/>
      <c r="I28" s="11"/>
      <c r="J28" s="11"/>
      <c r="K28" s="11">
        <f>F28*(G28+H28)+I28+J28</f>
        <v>0</v>
      </c>
      <c r="L28" s="113"/>
      <c r="M28" s="4" t="s">
        <v>377</v>
      </c>
    </row>
    <row r="30" spans="1:13" s="3" customFormat="1" ht="30" customHeight="1" x14ac:dyDescent="0.2">
      <c r="A30" s="56" t="s">
        <v>93</v>
      </c>
      <c r="B30" s="55"/>
      <c r="C30" s="53"/>
      <c r="D30" s="53"/>
      <c r="E30" s="53">
        <f>SUM(E8:E29)</f>
        <v>0</v>
      </c>
    </row>
    <row r="31" spans="1:13" s="3" customFormat="1" ht="30" customHeight="1" x14ac:dyDescent="0.2">
      <c r="A31" s="55" t="s">
        <v>23</v>
      </c>
      <c r="B31" s="55"/>
      <c r="C31" s="53"/>
      <c r="D31" s="53"/>
      <c r="E31" s="53">
        <f>E30*20%</f>
        <v>0</v>
      </c>
    </row>
    <row r="32" spans="1:13" s="3" customFormat="1" ht="30" customHeight="1" x14ac:dyDescent="0.2">
      <c r="A32" s="56" t="s">
        <v>94</v>
      </c>
      <c r="B32" s="55"/>
      <c r="C32" s="53"/>
      <c r="D32" s="53"/>
      <c r="E32" s="53">
        <f>E30+E31</f>
        <v>0</v>
      </c>
    </row>
    <row r="33" spans="1:11" x14ac:dyDescent="0.2">
      <c r="G33" s="7"/>
      <c r="H33" s="7"/>
      <c r="I33" s="7"/>
      <c r="J33" s="7"/>
      <c r="K33" s="7"/>
    </row>
    <row r="34" spans="1:11" x14ac:dyDescent="0.2">
      <c r="A34" s="6" t="s">
        <v>83</v>
      </c>
      <c r="B34" s="4"/>
      <c r="C34" s="23"/>
      <c r="D34" s="23"/>
      <c r="E34" s="23"/>
    </row>
    <row r="35" spans="1:11" x14ac:dyDescent="0.2">
      <c r="A35" s="24" t="s">
        <v>313</v>
      </c>
      <c r="B35" s="4"/>
      <c r="C35" s="23"/>
      <c r="D35" s="23"/>
      <c r="E35" s="23"/>
    </row>
    <row r="36" spans="1:11" x14ac:dyDescent="0.2">
      <c r="A36" s="25" t="s">
        <v>270</v>
      </c>
      <c r="B36" s="4" t="s">
        <v>11</v>
      </c>
      <c r="C36" s="23">
        <v>18</v>
      </c>
      <c r="D36" s="23"/>
      <c r="E36" s="23">
        <f>D36*C36</f>
        <v>0</v>
      </c>
    </row>
    <row r="37" spans="1:11" s="3" customFormat="1" ht="30" customHeight="1" x14ac:dyDescent="0.2">
      <c r="A37" s="85" t="s">
        <v>314</v>
      </c>
      <c r="B37" s="55"/>
      <c r="C37" s="53"/>
      <c r="D37" s="53"/>
      <c r="E37" s="53">
        <f>SUM(E36)</f>
        <v>0</v>
      </c>
    </row>
    <row r="38" spans="1:11" s="3" customFormat="1" ht="30" customHeight="1" x14ac:dyDescent="0.2">
      <c r="A38" s="55" t="s">
        <v>23</v>
      </c>
      <c r="B38" s="55"/>
      <c r="C38" s="53"/>
      <c r="D38" s="53"/>
      <c r="E38" s="53">
        <f>E37*20%</f>
        <v>0</v>
      </c>
    </row>
    <row r="39" spans="1:11" s="3" customFormat="1" ht="30" customHeight="1" x14ac:dyDescent="0.2">
      <c r="A39" s="56" t="s">
        <v>315</v>
      </c>
      <c r="B39" s="55"/>
      <c r="C39" s="53"/>
      <c r="D39" s="53"/>
      <c r="E39" s="53">
        <f>SUM(E37:E38)</f>
        <v>0</v>
      </c>
    </row>
    <row r="41" spans="1:11" x14ac:dyDescent="0.2">
      <c r="A41" s="25" t="s">
        <v>271</v>
      </c>
      <c r="B41" s="4" t="s">
        <v>10</v>
      </c>
      <c r="C41" s="23">
        <v>1</v>
      </c>
      <c r="D41" s="23"/>
      <c r="E41" s="23">
        <f>D41*C41</f>
        <v>0</v>
      </c>
    </row>
    <row r="42" spans="1:11" s="3" customFormat="1" ht="30" customHeight="1" x14ac:dyDescent="0.2">
      <c r="A42" s="56" t="s">
        <v>272</v>
      </c>
      <c r="B42" s="21"/>
      <c r="C42" s="27"/>
      <c r="D42" s="27"/>
      <c r="E42" s="53">
        <f>SUM(E41)</f>
        <v>0</v>
      </c>
    </row>
    <row r="43" spans="1:11" s="3" customFormat="1" ht="30" customHeight="1" x14ac:dyDescent="0.2">
      <c r="A43" s="55" t="s">
        <v>23</v>
      </c>
      <c r="B43" s="55"/>
      <c r="C43" s="53"/>
      <c r="D43" s="53"/>
      <c r="E43" s="53">
        <f>E42*20%</f>
        <v>0</v>
      </c>
    </row>
    <row r="44" spans="1:11" s="3" customFormat="1" ht="30" customHeight="1" x14ac:dyDescent="0.2">
      <c r="A44" s="56" t="s">
        <v>316</v>
      </c>
      <c r="B44" s="55"/>
      <c r="C44" s="53"/>
      <c r="D44" s="53"/>
      <c r="E44" s="53">
        <f>SUM(E42:E43)</f>
        <v>0</v>
      </c>
    </row>
    <row r="46" spans="1:11" ht="30" customHeight="1" x14ac:dyDescent="0.2">
      <c r="A46" s="56" t="s">
        <v>355</v>
      </c>
      <c r="B46" s="4"/>
      <c r="C46" s="23"/>
      <c r="D46" s="23"/>
      <c r="E46" s="23"/>
      <c r="K46" s="7">
        <f>F46*(G46+H46)+I46+J46</f>
        <v>0</v>
      </c>
    </row>
    <row r="47" spans="1:11" x14ac:dyDescent="0.2">
      <c r="A47" s="25" t="s">
        <v>305</v>
      </c>
      <c r="B47" s="4" t="s">
        <v>10</v>
      </c>
      <c r="C47" s="23">
        <v>1</v>
      </c>
      <c r="D47" s="23"/>
      <c r="E47" s="23">
        <f>D47*C47</f>
        <v>0</v>
      </c>
      <c r="F47">
        <f>0.9*1.17</f>
        <v>1.0529999999999999</v>
      </c>
      <c r="K47" s="7">
        <f t="shared" ref="K47:K57" si="0">F47*(G47+H47)+I47+J47</f>
        <v>0</v>
      </c>
    </row>
    <row r="48" spans="1:11" x14ac:dyDescent="0.2">
      <c r="A48" s="25" t="s">
        <v>306</v>
      </c>
      <c r="B48" s="4" t="s">
        <v>10</v>
      </c>
      <c r="C48" s="23">
        <v>1</v>
      </c>
      <c r="D48" s="23"/>
      <c r="E48" s="23">
        <f>D48*C48</f>
        <v>0</v>
      </c>
      <c r="F48">
        <f>1.71*1.7</f>
        <v>2.907</v>
      </c>
      <c r="K48" s="7">
        <f t="shared" si="0"/>
        <v>0</v>
      </c>
    </row>
    <row r="49" spans="1:11" x14ac:dyDescent="0.2">
      <c r="A49" s="25" t="s">
        <v>307</v>
      </c>
      <c r="B49" s="4" t="s">
        <v>10</v>
      </c>
      <c r="C49" s="23">
        <v>3</v>
      </c>
      <c r="D49" s="23"/>
      <c r="E49" s="23">
        <f>D49*C49</f>
        <v>0</v>
      </c>
      <c r="F49">
        <f>0.95*2.1</f>
        <v>1.9949999999999999</v>
      </c>
      <c r="K49" s="7">
        <f t="shared" si="0"/>
        <v>0</v>
      </c>
    </row>
    <row r="50" spans="1:11" x14ac:dyDescent="0.2">
      <c r="A50" s="25"/>
      <c r="B50" s="4"/>
      <c r="C50" s="23"/>
      <c r="D50" s="23"/>
      <c r="E50" s="23"/>
      <c r="K50" s="7">
        <f t="shared" si="0"/>
        <v>0</v>
      </c>
    </row>
    <row r="51" spans="1:11" x14ac:dyDescent="0.2">
      <c r="A51" s="25" t="s">
        <v>308</v>
      </c>
      <c r="B51" s="4"/>
      <c r="C51" s="23"/>
      <c r="D51" s="23"/>
      <c r="E51" s="23"/>
      <c r="K51" s="7">
        <f t="shared" si="0"/>
        <v>0</v>
      </c>
    </row>
    <row r="52" spans="1:11" x14ac:dyDescent="0.2">
      <c r="A52" s="26" t="s">
        <v>309</v>
      </c>
      <c r="B52" s="4" t="s">
        <v>10</v>
      </c>
      <c r="C52" s="69">
        <v>4</v>
      </c>
      <c r="D52" s="23"/>
      <c r="E52" s="23">
        <f>D52*C52</f>
        <v>0</v>
      </c>
      <c r="F52">
        <f>1.11*2.15</f>
        <v>2.3865000000000003</v>
      </c>
      <c r="K52" s="7">
        <f t="shared" si="0"/>
        <v>0</v>
      </c>
    </row>
    <row r="53" spans="1:11" x14ac:dyDescent="0.2">
      <c r="A53" s="26" t="s">
        <v>310</v>
      </c>
      <c r="B53" s="4" t="s">
        <v>10</v>
      </c>
      <c r="C53" s="23">
        <v>2</v>
      </c>
      <c r="D53" s="23"/>
      <c r="E53" s="23">
        <f>D53*C53</f>
        <v>0</v>
      </c>
      <c r="F53">
        <f>1.86*2.15</f>
        <v>3.9990000000000001</v>
      </c>
      <c r="K53" s="7">
        <f t="shared" si="0"/>
        <v>0</v>
      </c>
    </row>
    <row r="54" spans="1:11" x14ac:dyDescent="0.2">
      <c r="A54" s="25"/>
      <c r="B54" s="4"/>
      <c r="C54" s="23"/>
      <c r="D54" s="23"/>
      <c r="E54" s="23"/>
      <c r="K54" s="7">
        <f t="shared" si="0"/>
        <v>0</v>
      </c>
    </row>
    <row r="55" spans="1:11" x14ac:dyDescent="0.2">
      <c r="A55" s="25" t="s">
        <v>311</v>
      </c>
      <c r="B55" s="4"/>
      <c r="C55" s="23"/>
      <c r="D55" s="23"/>
      <c r="E55" s="23"/>
      <c r="K55" s="7">
        <f t="shared" si="0"/>
        <v>0</v>
      </c>
    </row>
    <row r="56" spans="1:11" x14ac:dyDescent="0.2">
      <c r="A56" s="26" t="s">
        <v>312</v>
      </c>
      <c r="B56" s="4" t="s">
        <v>10</v>
      </c>
      <c r="C56" s="23">
        <v>3</v>
      </c>
      <c r="D56" s="23"/>
      <c r="E56" s="23">
        <f>D56*C56</f>
        <v>0</v>
      </c>
      <c r="F56">
        <f>1.8*1.65</f>
        <v>2.9699999999999998</v>
      </c>
      <c r="K56" s="7">
        <f t="shared" si="0"/>
        <v>0</v>
      </c>
    </row>
    <row r="57" spans="1:11" x14ac:dyDescent="0.2">
      <c r="A57" s="26" t="s">
        <v>317</v>
      </c>
      <c r="B57" s="4" t="s">
        <v>10</v>
      </c>
      <c r="C57" s="23">
        <v>1</v>
      </c>
      <c r="D57" s="23"/>
      <c r="E57" s="23">
        <f>D57*C57</f>
        <v>0</v>
      </c>
      <c r="F57">
        <f>1.8*2.1</f>
        <v>3.7800000000000002</v>
      </c>
      <c r="K57" s="7">
        <f t="shared" si="0"/>
        <v>0</v>
      </c>
    </row>
    <row r="59" spans="1:11" ht="30" customHeight="1" x14ac:dyDescent="0.2">
      <c r="A59" s="56" t="s">
        <v>354</v>
      </c>
      <c r="B59" s="55"/>
      <c r="C59" s="53"/>
      <c r="D59" s="53"/>
      <c r="E59" s="53">
        <f>SUM(E47:E58)</f>
        <v>0</v>
      </c>
    </row>
    <row r="60" spans="1:11" ht="30" customHeight="1" x14ac:dyDescent="0.2">
      <c r="A60" s="55" t="s">
        <v>23</v>
      </c>
      <c r="B60" s="55"/>
      <c r="C60" s="53"/>
      <c r="D60" s="53"/>
      <c r="E60" s="53">
        <f>E59*20%</f>
        <v>0</v>
      </c>
    </row>
    <row r="61" spans="1:11" ht="30" customHeight="1" x14ac:dyDescent="0.2">
      <c r="A61" s="56" t="s">
        <v>356</v>
      </c>
      <c r="B61" s="55"/>
      <c r="C61" s="53"/>
      <c r="D61" s="53"/>
      <c r="E61" s="53">
        <f>SUM(E59:E60)</f>
        <v>0</v>
      </c>
    </row>
    <row r="62" spans="1:11" ht="112.5" customHeight="1" x14ac:dyDescent="0.2">
      <c r="A62" s="165" t="s">
        <v>458</v>
      </c>
      <c r="B62" s="166"/>
      <c r="C62" s="166"/>
      <c r="D62" s="166"/>
      <c r="E62" s="167"/>
    </row>
  </sheetData>
  <mergeCells count="6">
    <mergeCell ref="A62:E62"/>
    <mergeCell ref="L27:L28"/>
    <mergeCell ref="A1:E2"/>
    <mergeCell ref="A3:E4"/>
    <mergeCell ref="A6:E6"/>
    <mergeCell ref="L23:L25"/>
  </mergeCells>
  <pageMargins left="0.7" right="0.7" top="0.75" bottom="0.75" header="0.3" footer="0.3"/>
  <pageSetup paperSize="9" scale="86" orientation="portrait" r:id="rId1"/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Calcul BA</vt:lpstr>
      <vt:lpstr>P2</vt:lpstr>
      <vt:lpstr>L2</vt:lpstr>
      <vt:lpstr>P3</vt:lpstr>
      <vt:lpstr>L3</vt:lpstr>
      <vt:lpstr>P4</vt:lpstr>
      <vt:lpstr>L4</vt:lpstr>
      <vt:lpstr>P5</vt:lpstr>
      <vt:lpstr>L5</vt:lpstr>
      <vt:lpstr>P6</vt:lpstr>
      <vt:lpstr>L6</vt:lpstr>
      <vt:lpstr>P7</vt:lpstr>
      <vt:lpstr>L7</vt:lpstr>
      <vt:lpstr>P8</vt:lpstr>
      <vt:lpstr>L8</vt:lpstr>
      <vt:lpstr>P9</vt:lpstr>
      <vt:lpstr>L9</vt:lpstr>
      <vt:lpstr>'L8'!_Toc405450663</vt:lpstr>
      <vt:lpstr>'L8'!_Toc405450665</vt:lpstr>
      <vt:lpstr>'L2'!Zone_d_impression</vt:lpstr>
      <vt:lpstr>'L3'!Zone_d_impression</vt:lpstr>
      <vt:lpstr>'L4'!Zone_d_impression</vt:lpstr>
      <vt:lpstr>'L5'!Zone_d_impression</vt:lpstr>
      <vt:lpstr>'L6'!Zone_d_impression</vt:lpstr>
      <vt:lpstr>'L7'!Zone_d_impression</vt:lpstr>
      <vt:lpstr>'L8'!Zone_d_impression</vt:lpstr>
      <vt:lpstr>'L9'!Zone_d_impression</vt:lpstr>
      <vt:lpstr>'P2'!Zone_d_impression</vt:lpstr>
      <vt:lpstr>'P3'!Zone_d_impression</vt:lpstr>
      <vt:lpstr>'P4'!Zone_d_impression</vt:lpstr>
      <vt:lpstr>'P5'!Zone_d_impression</vt:lpstr>
      <vt:lpstr>'P6'!Zone_d_impression</vt:lpstr>
      <vt:lpstr>'P7'!Zone_d_impression</vt:lpstr>
      <vt:lpstr>'P8'!Zone_d_impression</vt:lpstr>
      <vt:lpstr>'P9'!Zone_d_impression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</dc:creator>
  <cp:lastModifiedBy>poste1</cp:lastModifiedBy>
  <cp:lastPrinted>2017-10-06T12:58:50Z</cp:lastPrinted>
  <dcterms:created xsi:type="dcterms:W3CDTF">2016-03-29T08:56:04Z</dcterms:created>
  <dcterms:modified xsi:type="dcterms:W3CDTF">2017-10-12T17:09:49Z</dcterms:modified>
</cp:coreProperties>
</file>